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F\NATURA__SAXOVCI\www_NATURA_migracia_dat\www_NATURA_migracia_dat_20-3-2025\lokality_NATURA\UEV\"/>
    </mc:Choice>
  </mc:AlternateContent>
  <bookViews>
    <workbookView xWindow="0" yWindow="0" windowWidth="28800" windowHeight="11880"/>
  </bookViews>
  <sheets>
    <sheet name="prehľad všetkých ÚEV" sheetId="1" r:id="rId1"/>
  </sheets>
  <definedNames>
    <definedName name="_xlnm._FilterDatabase" localSheetId="0" hidden="1">'prehľad všetkých ÚEV'!$A$2:$K$646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6" i="1" l="1"/>
  <c r="E646" i="1"/>
  <c r="F645" i="1"/>
  <c r="E645" i="1"/>
  <c r="F644" i="1"/>
  <c r="E644" i="1"/>
  <c r="F643" i="1"/>
  <c r="E643" i="1"/>
  <c r="F642" i="1"/>
  <c r="E642" i="1"/>
  <c r="F641" i="1"/>
  <c r="E641" i="1"/>
  <c r="F640" i="1"/>
  <c r="E640" i="1"/>
  <c r="F639" i="1"/>
  <c r="E639" i="1"/>
  <c r="F638" i="1"/>
  <c r="E638" i="1"/>
  <c r="F637" i="1"/>
  <c r="E637" i="1"/>
  <c r="F636" i="1"/>
  <c r="E636" i="1"/>
  <c r="F635" i="1"/>
  <c r="E635" i="1"/>
  <c r="F634" i="1"/>
  <c r="E634" i="1"/>
  <c r="F633" i="1"/>
  <c r="E633" i="1"/>
  <c r="F632" i="1"/>
  <c r="E632" i="1"/>
  <c r="F631" i="1"/>
  <c r="E631" i="1"/>
  <c r="F630" i="1"/>
  <c r="E630" i="1"/>
  <c r="F629" i="1"/>
  <c r="E629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9" i="1"/>
  <c r="E619" i="1"/>
  <c r="F618" i="1"/>
  <c r="E618" i="1"/>
  <c r="F617" i="1"/>
  <c r="E617" i="1"/>
  <c r="F616" i="1"/>
  <c r="E616" i="1"/>
  <c r="F615" i="1"/>
  <c r="E615" i="1"/>
  <c r="F614" i="1"/>
  <c r="E614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E605" i="1"/>
  <c r="F604" i="1"/>
  <c r="E604" i="1"/>
  <c r="F603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6" i="1"/>
  <c r="E596" i="1"/>
  <c r="F595" i="1"/>
  <c r="E595" i="1"/>
  <c r="F594" i="1"/>
  <c r="E594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6" i="1"/>
  <c r="E576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2" i="1"/>
  <c r="E562" i="1"/>
  <c r="F561" i="1"/>
  <c r="E561" i="1"/>
  <c r="F560" i="1"/>
  <c r="E560" i="1"/>
  <c r="F559" i="1"/>
  <c r="E559" i="1"/>
  <c r="F558" i="1"/>
  <c r="E558" i="1"/>
  <c r="F557" i="1"/>
  <c r="E557" i="1"/>
  <c r="F556" i="1"/>
  <c r="E556" i="1"/>
  <c r="F555" i="1"/>
  <c r="E555" i="1"/>
  <c r="F554" i="1"/>
  <c r="E554" i="1"/>
  <c r="F553" i="1"/>
  <c r="E553" i="1"/>
  <c r="F552" i="1"/>
  <c r="E552" i="1"/>
  <c r="F551" i="1"/>
  <c r="E551" i="1"/>
  <c r="F550" i="1"/>
  <c r="E550" i="1"/>
  <c r="F549" i="1"/>
  <c r="E549" i="1"/>
  <c r="F548" i="1"/>
  <c r="E548" i="1"/>
  <c r="F547" i="1"/>
  <c r="E547" i="1"/>
  <c r="F546" i="1"/>
  <c r="E546" i="1"/>
  <c r="F545" i="1"/>
  <c r="E545" i="1"/>
  <c r="F544" i="1"/>
  <c r="E544" i="1"/>
  <c r="F543" i="1"/>
  <c r="E543" i="1"/>
  <c r="F542" i="1"/>
  <c r="E542" i="1"/>
  <c r="F541" i="1"/>
  <c r="E541" i="1"/>
  <c r="F540" i="1"/>
  <c r="E540" i="1"/>
  <c r="F539" i="1"/>
  <c r="E539" i="1"/>
  <c r="F538" i="1"/>
  <c r="E538" i="1"/>
  <c r="F537" i="1"/>
  <c r="E537" i="1"/>
  <c r="F536" i="1"/>
  <c r="E536" i="1"/>
  <c r="F535" i="1"/>
  <c r="E535" i="1"/>
  <c r="F534" i="1"/>
  <c r="E534" i="1"/>
  <c r="F533" i="1"/>
  <c r="E533" i="1"/>
  <c r="F532" i="1"/>
  <c r="E532" i="1"/>
  <c r="F531" i="1"/>
  <c r="E531" i="1"/>
  <c r="F530" i="1"/>
  <c r="E530" i="1"/>
  <c r="F529" i="1"/>
  <c r="E529" i="1"/>
  <c r="F528" i="1"/>
  <c r="E528" i="1"/>
  <c r="F527" i="1"/>
  <c r="E527" i="1"/>
  <c r="F526" i="1"/>
  <c r="E526" i="1"/>
  <c r="F525" i="1"/>
  <c r="E525" i="1"/>
  <c r="F524" i="1"/>
  <c r="E524" i="1"/>
  <c r="F523" i="1"/>
  <c r="E523" i="1"/>
  <c r="F522" i="1"/>
  <c r="E522" i="1"/>
  <c r="F521" i="1"/>
  <c r="E521" i="1"/>
  <c r="F520" i="1"/>
  <c r="E520" i="1"/>
  <c r="F519" i="1"/>
  <c r="E519" i="1"/>
  <c r="F518" i="1"/>
  <c r="E518" i="1"/>
  <c r="F517" i="1"/>
  <c r="E517" i="1"/>
  <c r="F516" i="1"/>
  <c r="E516" i="1"/>
  <c r="F515" i="1"/>
  <c r="E515" i="1"/>
  <c r="F514" i="1"/>
  <c r="E514" i="1"/>
  <c r="F513" i="1"/>
  <c r="E513" i="1"/>
  <c r="F512" i="1"/>
  <c r="E512" i="1"/>
  <c r="F511" i="1"/>
  <c r="E511" i="1"/>
  <c r="F510" i="1"/>
  <c r="E510" i="1"/>
  <c r="F509" i="1"/>
  <c r="E509" i="1"/>
  <c r="F508" i="1"/>
  <c r="E508" i="1"/>
  <c r="F507" i="1"/>
  <c r="E507" i="1"/>
  <c r="F506" i="1"/>
  <c r="E506" i="1"/>
  <c r="F505" i="1"/>
  <c r="E505" i="1"/>
  <c r="F504" i="1"/>
  <c r="E504" i="1"/>
  <c r="F503" i="1"/>
  <c r="E503" i="1"/>
  <c r="F502" i="1"/>
  <c r="E502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5" i="1"/>
  <c r="E495" i="1"/>
  <c r="F494" i="1"/>
  <c r="E494" i="1"/>
  <c r="F493" i="1"/>
  <c r="E493" i="1"/>
  <c r="F492" i="1"/>
  <c r="E492" i="1"/>
  <c r="F491" i="1"/>
  <c r="E491" i="1"/>
  <c r="F490" i="1"/>
  <c r="E490" i="1"/>
  <c r="F489" i="1"/>
  <c r="E489" i="1"/>
  <c r="F488" i="1"/>
  <c r="E488" i="1"/>
  <c r="F487" i="1"/>
  <c r="E487" i="1"/>
  <c r="F486" i="1"/>
  <c r="E486" i="1"/>
  <c r="F485" i="1"/>
  <c r="E485" i="1"/>
  <c r="F484" i="1"/>
  <c r="E484" i="1"/>
  <c r="F483" i="1"/>
  <c r="E483" i="1"/>
  <c r="F482" i="1"/>
  <c r="E482" i="1"/>
  <c r="F481" i="1"/>
  <c r="E481" i="1"/>
  <c r="F480" i="1"/>
  <c r="E480" i="1"/>
  <c r="F479" i="1"/>
  <c r="E479" i="1"/>
  <c r="F478" i="1"/>
  <c r="E478" i="1"/>
  <c r="F477" i="1"/>
  <c r="E477" i="1"/>
  <c r="F476" i="1"/>
  <c r="E476" i="1"/>
  <c r="F475" i="1"/>
  <c r="E475" i="1"/>
  <c r="F474" i="1"/>
  <c r="E474" i="1"/>
  <c r="F473" i="1"/>
  <c r="E473" i="1"/>
  <c r="F472" i="1"/>
  <c r="E472" i="1"/>
  <c r="F471" i="1"/>
  <c r="E471" i="1"/>
  <c r="F470" i="1"/>
  <c r="E470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4" i="1"/>
  <c r="E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6" i="1"/>
  <c r="F435" i="1"/>
  <c r="E435" i="1"/>
  <c r="F434" i="1"/>
  <c r="E434" i="1"/>
  <c r="F433" i="1"/>
  <c r="E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E425" i="1"/>
  <c r="F424" i="1"/>
  <c r="E424" i="1"/>
  <c r="F423" i="1"/>
  <c r="E423" i="1"/>
  <c r="F422" i="1"/>
  <c r="E422" i="1"/>
  <c r="F421" i="1"/>
  <c r="E421" i="1"/>
  <c r="F420" i="1"/>
  <c r="E420" i="1"/>
  <c r="F419" i="1"/>
  <c r="E419" i="1"/>
  <c r="F418" i="1"/>
  <c r="E418" i="1"/>
  <c r="F417" i="1"/>
  <c r="E417" i="1"/>
  <c r="F416" i="1"/>
  <c r="E416" i="1"/>
  <c r="F415" i="1"/>
  <c r="E415" i="1"/>
  <c r="F414" i="1"/>
  <c r="E414" i="1"/>
  <c r="F413" i="1"/>
  <c r="E413" i="1"/>
  <c r="F412" i="1"/>
  <c r="E412" i="1"/>
  <c r="F411" i="1"/>
  <c r="E411" i="1"/>
  <c r="F410" i="1"/>
  <c r="E410" i="1"/>
  <c r="F409" i="1"/>
  <c r="E409" i="1"/>
  <c r="F408" i="1"/>
  <c r="E408" i="1"/>
  <c r="F407" i="1"/>
  <c r="E407" i="1"/>
  <c r="F406" i="1"/>
  <c r="E406" i="1"/>
  <c r="F405" i="1"/>
  <c r="E405" i="1"/>
  <c r="F404" i="1"/>
  <c r="E404" i="1"/>
  <c r="F403" i="1"/>
  <c r="E403" i="1"/>
  <c r="F402" i="1"/>
  <c r="E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E392" i="1"/>
  <c r="F391" i="1"/>
  <c r="E391" i="1"/>
  <c r="F390" i="1"/>
  <c r="E390" i="1"/>
  <c r="F389" i="1"/>
  <c r="E389" i="1"/>
  <c r="F388" i="1"/>
  <c r="E388" i="1"/>
  <c r="F387" i="1"/>
  <c r="E387" i="1"/>
  <c r="F386" i="1"/>
  <c r="E386" i="1"/>
  <c r="F385" i="1"/>
  <c r="E385" i="1"/>
  <c r="F384" i="1"/>
  <c r="E384" i="1"/>
  <c r="F383" i="1"/>
  <c r="E383" i="1"/>
  <c r="F382" i="1"/>
  <c r="E382" i="1"/>
  <c r="F381" i="1"/>
  <c r="E381" i="1"/>
  <c r="F380" i="1"/>
  <c r="E380" i="1"/>
  <c r="F379" i="1"/>
  <c r="E379" i="1"/>
  <c r="F378" i="1"/>
  <c r="E378" i="1"/>
  <c r="F377" i="1"/>
  <c r="E377" i="1"/>
  <c r="F376" i="1"/>
  <c r="E376" i="1"/>
  <c r="F375" i="1"/>
  <c r="E375" i="1"/>
  <c r="F374" i="1"/>
  <c r="E374" i="1"/>
  <c r="F373" i="1"/>
  <c r="E373" i="1"/>
  <c r="F372" i="1"/>
  <c r="E372" i="1"/>
  <c r="F371" i="1"/>
  <c r="E371" i="1"/>
  <c r="F370" i="1"/>
  <c r="E370" i="1"/>
  <c r="F369" i="1"/>
  <c r="E369" i="1"/>
  <c r="F368" i="1"/>
  <c r="E368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41" i="1"/>
  <c r="E341" i="1"/>
  <c r="F340" i="1"/>
  <c r="E340" i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F326" i="1"/>
  <c r="E326" i="1"/>
  <c r="F325" i="1"/>
  <c r="E325" i="1"/>
  <c r="F324" i="1"/>
  <c r="E324" i="1"/>
  <c r="F323" i="1"/>
  <c r="E323" i="1"/>
  <c r="F322" i="1"/>
  <c r="E322" i="1"/>
  <c r="F321" i="1"/>
  <c r="E321" i="1"/>
  <c r="F320" i="1"/>
  <c r="E320" i="1"/>
  <c r="F319" i="1"/>
  <c r="E319" i="1"/>
  <c r="F318" i="1"/>
  <c r="E318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C646" i="1" l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<sst xmlns="http://schemas.openxmlformats.org/spreadsheetml/2006/main" count="3819" uniqueCount="1403">
  <si>
    <t>Poradové číslo a etapa</t>
  </si>
  <si>
    <t>Odkaz na podrobnosti k ÚEV</t>
  </si>
  <si>
    <t>Odkaz na ciele ochrany</t>
  </si>
  <si>
    <t>Biogeografický región (ALP = alpský, PAN = panónsky)</t>
  </si>
  <si>
    <t>Kraj</t>
  </si>
  <si>
    <t>Územne príslušná organizácia ochrany prírody, resp. útvar ŠOP SR</t>
  </si>
  <si>
    <t>Prekrytie ÚEV s národnou sústavou [%]</t>
  </si>
  <si>
    <t>Odkaz na program starostlivosti, (schválený,*  schválený s odloženou platnosťou)</t>
  </si>
  <si>
    <t>1A</t>
  </si>
  <si>
    <t>SKUEV0001</t>
  </si>
  <si>
    <t> </t>
  </si>
  <si>
    <t>ALP</t>
  </si>
  <si>
    <t xml:space="preserve">Banskobystrický </t>
  </si>
  <si>
    <t>NP Muránska planina</t>
  </si>
  <si>
    <t>2A</t>
  </si>
  <si>
    <t>SKUEV0002</t>
  </si>
  <si>
    <t>3A</t>
  </si>
  <si>
    <t>SKUEV0003</t>
  </si>
  <si>
    <t>4A</t>
  </si>
  <si>
    <t>SKUEV0004</t>
  </si>
  <si>
    <t>PAN</t>
  </si>
  <si>
    <t xml:space="preserve">Košický </t>
  </si>
  <si>
    <t>CHKO Latorica</t>
  </si>
  <si>
    <t>Áno</t>
  </si>
  <si>
    <t>5A</t>
  </si>
  <si>
    <t>SKUEV0005</t>
  </si>
  <si>
    <t xml:space="preserve">Prešovský </t>
  </si>
  <si>
    <t>CHKO Východné Karpaty</t>
  </si>
  <si>
    <t>6A</t>
  </si>
  <si>
    <t>SKUEV0006</t>
  </si>
  <si>
    <t>7A,B</t>
  </si>
  <si>
    <t>SKUEV0007</t>
  </si>
  <si>
    <t>8A</t>
  </si>
  <si>
    <t>SKUEV0008</t>
  </si>
  <si>
    <t>CHKO Poľana</t>
  </si>
  <si>
    <t>9A</t>
  </si>
  <si>
    <t>SKUEV0009</t>
  </si>
  <si>
    <t>10A</t>
  </si>
  <si>
    <t>SKUEV0010</t>
  </si>
  <si>
    <t xml:space="preserve">Nitriansky </t>
  </si>
  <si>
    <t>CHKO Dunajské luhy</t>
  </si>
  <si>
    <t>11A</t>
  </si>
  <si>
    <t>SKUEV0011</t>
  </si>
  <si>
    <t>12A</t>
  </si>
  <si>
    <t>SKUEV0012</t>
  </si>
  <si>
    <t>13 A,B</t>
  </si>
  <si>
    <t>SKUEV0013</t>
  </si>
  <si>
    <t>CHKO Ponitrie</t>
  </si>
  <si>
    <t>14 A, D</t>
  </si>
  <si>
    <t>SKUEV0014</t>
  </si>
  <si>
    <t>15 A</t>
  </si>
  <si>
    <t>SKUEV0015</t>
  </si>
  <si>
    <t>CHKO Štiavnické vrchy</t>
  </si>
  <si>
    <t>16 A</t>
  </si>
  <si>
    <t>SKUEV0016</t>
  </si>
  <si>
    <t>Prešovský</t>
  </si>
  <si>
    <t>17 A</t>
  </si>
  <si>
    <t>SKUEV0017</t>
  </si>
  <si>
    <t>Nitriansky</t>
  </si>
  <si>
    <t>18 A</t>
  </si>
  <si>
    <t>SKUEV0018</t>
  </si>
  <si>
    <t>Banskobystrický</t>
  </si>
  <si>
    <t>19 A,C</t>
  </si>
  <si>
    <t>SKUEV0019</t>
  </si>
  <si>
    <t>Košický</t>
  </si>
  <si>
    <t>20 A</t>
  </si>
  <si>
    <t>SKUEV0020</t>
  </si>
  <si>
    <t>21 A</t>
  </si>
  <si>
    <t>SKUEV0021</t>
  </si>
  <si>
    <t>22 A</t>
  </si>
  <si>
    <t>SKUEV0023</t>
  </si>
  <si>
    <t>23 A</t>
  </si>
  <si>
    <t>SKUEV0024</t>
  </si>
  <si>
    <t>24 A</t>
  </si>
  <si>
    <t>SKUEV0025</t>
  </si>
  <si>
    <t xml:space="preserve">CHKO Vihorlat </t>
  </si>
  <si>
    <t>25 A</t>
  </si>
  <si>
    <t>SKUEV0026</t>
  </si>
  <si>
    <t xml:space="preserve">Áno </t>
  </si>
  <si>
    <t>26 A</t>
  </si>
  <si>
    <t>SKUEV0029</t>
  </si>
  <si>
    <t>27 A</t>
  </si>
  <si>
    <t>SKUEV0030</t>
  </si>
  <si>
    <t>28 A</t>
  </si>
  <si>
    <t>SKUEV0032</t>
  </si>
  <si>
    <t>29 A</t>
  </si>
  <si>
    <t>SKUEV0034</t>
  </si>
  <si>
    <t>30 A</t>
  </si>
  <si>
    <t>SKUEV0035</t>
  </si>
  <si>
    <t>31 A</t>
  </si>
  <si>
    <t>SKUEV0036</t>
  </si>
  <si>
    <t>ALP PAN</t>
  </si>
  <si>
    <t>Nitriansky, Banskobystrický</t>
  </si>
  <si>
    <t>32 A</t>
  </si>
  <si>
    <t>SKUEV0037</t>
  </si>
  <si>
    <t>33 A</t>
  </si>
  <si>
    <t>SKUEV0038</t>
  </si>
  <si>
    <t>34 A</t>
  </si>
  <si>
    <t>SKUEV0043</t>
  </si>
  <si>
    <t>35 A</t>
  </si>
  <si>
    <t>SKUEV0044</t>
  </si>
  <si>
    <t>36 A</t>
  </si>
  <si>
    <t>SKUEV0045</t>
  </si>
  <si>
    <t>37 A</t>
  </si>
  <si>
    <t>SKUEV0046</t>
  </si>
  <si>
    <t>38 A</t>
  </si>
  <si>
    <t>SKUEV0047</t>
  </si>
  <si>
    <t>39 A,D</t>
  </si>
  <si>
    <t>SKUEV0048</t>
  </si>
  <si>
    <t>40 A</t>
  </si>
  <si>
    <t>SKUEV0049</t>
  </si>
  <si>
    <t>41 A</t>
  </si>
  <si>
    <t>SKUEV0050</t>
  </si>
  <si>
    <t>42 A</t>
  </si>
  <si>
    <t>SKUEV0051</t>
  </si>
  <si>
    <t>43 A</t>
  </si>
  <si>
    <t>SKUEV0052</t>
  </si>
  <si>
    <t>44 A</t>
  </si>
  <si>
    <t>SKUEV0053</t>
  </si>
  <si>
    <t>45 A</t>
  </si>
  <si>
    <t>SKUEV0054</t>
  </si>
  <si>
    <t>46 A</t>
  </si>
  <si>
    <t>SKUEV0055</t>
  </si>
  <si>
    <t>47 A</t>
  </si>
  <si>
    <t>SKUEV0056</t>
  </si>
  <si>
    <t>48 A</t>
  </si>
  <si>
    <t>SKUEV0057</t>
  </si>
  <si>
    <t>Žilinský</t>
  </si>
  <si>
    <t>CHKO Horná Orava</t>
  </si>
  <si>
    <t>49 A</t>
  </si>
  <si>
    <t>SKUEV0058</t>
  </si>
  <si>
    <t>NAPANT</t>
  </si>
  <si>
    <t>50 A,B</t>
  </si>
  <si>
    <t>SKUEV0059</t>
  </si>
  <si>
    <t>51 A</t>
  </si>
  <si>
    <t>SKUEV0060</t>
  </si>
  <si>
    <t>52 A</t>
  </si>
  <si>
    <t>SKUEV0061</t>
  </si>
  <si>
    <t>53 A</t>
  </si>
  <si>
    <t>SKUEV0062</t>
  </si>
  <si>
    <t>Áno*</t>
  </si>
  <si>
    <t>54 A</t>
  </si>
  <si>
    <t>SKUEV0063</t>
  </si>
  <si>
    <t>NP Poloniny</t>
  </si>
  <si>
    <t>55 A, B</t>
  </si>
  <si>
    <t>SKUEV0064</t>
  </si>
  <si>
    <t>Bratislavský</t>
  </si>
  <si>
    <t>56 A</t>
  </si>
  <si>
    <t>SKUEV0065</t>
  </si>
  <si>
    <t>57 A</t>
  </si>
  <si>
    <t>SKUEV0066</t>
  </si>
  <si>
    <t>58 A,C</t>
  </si>
  <si>
    <t>SKUEV0067</t>
  </si>
  <si>
    <t>59 A</t>
  </si>
  <si>
    <t>SKUEV0068</t>
  </si>
  <si>
    <t>60 A</t>
  </si>
  <si>
    <t>SKUEV0069</t>
  </si>
  <si>
    <t>61 A</t>
  </si>
  <si>
    <t>SKUEV0070</t>
  </si>
  <si>
    <t>62 A</t>
  </si>
  <si>
    <t>SKUEV0071</t>
  </si>
  <si>
    <t>63 A</t>
  </si>
  <si>
    <t>SKUEV0072</t>
  </si>
  <si>
    <t>64 A</t>
  </si>
  <si>
    <t>SKUEV0073</t>
  </si>
  <si>
    <t>65 A</t>
  </si>
  <si>
    <t>SKUEV0074</t>
  </si>
  <si>
    <t>Trnavský</t>
  </si>
  <si>
    <t>66 A</t>
  </si>
  <si>
    <t>SKUEV0075</t>
  </si>
  <si>
    <t>67 A</t>
  </si>
  <si>
    <t>SKUEV0076</t>
  </si>
  <si>
    <t>68 A</t>
  </si>
  <si>
    <t>SKUEV0077</t>
  </si>
  <si>
    <t>69 A</t>
  </si>
  <si>
    <t>SKUEV0078</t>
  </si>
  <si>
    <t>70 A</t>
  </si>
  <si>
    <t>SKUEV0079</t>
  </si>
  <si>
    <t>71 A</t>
  </si>
  <si>
    <t>SKUEV0080</t>
  </si>
  <si>
    <t>72 A</t>
  </si>
  <si>
    <t>SKUEV0083</t>
  </si>
  <si>
    <t>73 A</t>
  </si>
  <si>
    <t>SKUEV0084</t>
  </si>
  <si>
    <t>Nitrianský</t>
  </si>
  <si>
    <t>74 A</t>
  </si>
  <si>
    <t>SKUEV0085</t>
  </si>
  <si>
    <t>75 A</t>
  </si>
  <si>
    <t>SKUEV0086</t>
  </si>
  <si>
    <t>76 A</t>
  </si>
  <si>
    <t>SKUEV0087</t>
  </si>
  <si>
    <t>77 A</t>
  </si>
  <si>
    <t>SKUEV0088</t>
  </si>
  <si>
    <t>78 A</t>
  </si>
  <si>
    <t>SKUEV0089</t>
  </si>
  <si>
    <t>79 A,C</t>
  </si>
  <si>
    <t>SKUEV0090</t>
  </si>
  <si>
    <t>80 A</t>
  </si>
  <si>
    <t>SKUEV0091</t>
  </si>
  <si>
    <t>81 A</t>
  </si>
  <si>
    <t>SKUEV0092</t>
  </si>
  <si>
    <t>82 A</t>
  </si>
  <si>
    <t>SKUEV0093</t>
  </si>
  <si>
    <t>83 A</t>
  </si>
  <si>
    <t>SKUEV0094</t>
  </si>
  <si>
    <t>84 A</t>
  </si>
  <si>
    <t>SKUEV0095</t>
  </si>
  <si>
    <t>85 A</t>
  </si>
  <si>
    <t>SKUEV0096</t>
  </si>
  <si>
    <t>86 A</t>
  </si>
  <si>
    <t>SKUEV0097</t>
  </si>
  <si>
    <t>87 A,C</t>
  </si>
  <si>
    <t>SKUEV0098</t>
  </si>
  <si>
    <t>88 A</t>
  </si>
  <si>
    <t>SKUEV0099</t>
  </si>
  <si>
    <t>89 A</t>
  </si>
  <si>
    <t>SKUEV0100</t>
  </si>
  <si>
    <t>90 A,C</t>
  </si>
  <si>
    <t>SKUEV0101</t>
  </si>
  <si>
    <t>CHKO Kysuce</t>
  </si>
  <si>
    <t>91 A</t>
  </si>
  <si>
    <t>SKUEV0102</t>
  </si>
  <si>
    <t>Trenčiansky</t>
  </si>
  <si>
    <t>92 A</t>
  </si>
  <si>
    <t>SKUEV0103</t>
  </si>
  <si>
    <t>CHKO Malé Karpaty</t>
  </si>
  <si>
    <t>93 A,D</t>
  </si>
  <si>
    <t>SKUEV0104</t>
  </si>
  <si>
    <t>94 A,C</t>
  </si>
  <si>
    <t>SKUEV0105</t>
  </si>
  <si>
    <t>Prešovský, Košický</t>
  </si>
  <si>
    <t>NP Slovenský raj</t>
  </si>
  <si>
    <t xml:space="preserve">Áno, Sobotisko, Spišský hradný vrch, Ostrá hora </t>
  </si>
  <si>
    <t>95 A</t>
  </si>
  <si>
    <t>SKUEV0106</t>
  </si>
  <si>
    <t>96 A,D</t>
  </si>
  <si>
    <t>SKUEV0107</t>
  </si>
  <si>
    <t>97 A</t>
  </si>
  <si>
    <t>SKUEV0108</t>
  </si>
  <si>
    <t>98 A</t>
  </si>
  <si>
    <t>SKUEV0109</t>
  </si>
  <si>
    <t>99 A</t>
  </si>
  <si>
    <t>SKUEV0110</t>
  </si>
  <si>
    <t>100 A</t>
  </si>
  <si>
    <t>SKUEV0111</t>
  </si>
  <si>
    <t>101 A,C</t>
  </si>
  <si>
    <t>SKUEV0112</t>
  </si>
  <si>
    <t>Banskobystrický, Košický, Prešovský</t>
  </si>
  <si>
    <t>102 A</t>
  </si>
  <si>
    <t>SKUEV0113</t>
  </si>
  <si>
    <t>CHKO Záhorie</t>
  </si>
  <si>
    <t>103 A</t>
  </si>
  <si>
    <t>SKUEV0115</t>
  </si>
  <si>
    <t>104 A</t>
  </si>
  <si>
    <t>SKUEV0116</t>
  </si>
  <si>
    <t>105 A</t>
  </si>
  <si>
    <t>SKUEV0117</t>
  </si>
  <si>
    <t>106 A</t>
  </si>
  <si>
    <t>SKUEV0119</t>
  </si>
  <si>
    <t>107 A</t>
  </si>
  <si>
    <t>SKUEV0120</t>
  </si>
  <si>
    <t>Trnavský, Bratislavský</t>
  </si>
  <si>
    <t>108 A</t>
  </si>
  <si>
    <t>SKUEV0121</t>
  </si>
  <si>
    <t>109 A</t>
  </si>
  <si>
    <t>SKUEV0123</t>
  </si>
  <si>
    <t>110 A</t>
  </si>
  <si>
    <t>SKUEV0124</t>
  </si>
  <si>
    <t>111 A,B</t>
  </si>
  <si>
    <t>SKUEV0125</t>
  </si>
  <si>
    <t>112 A</t>
  </si>
  <si>
    <t>SKUEV0126</t>
  </si>
  <si>
    <t>113 A</t>
  </si>
  <si>
    <t>SKUEV0127</t>
  </si>
  <si>
    <t>114 A</t>
  </si>
  <si>
    <t>SKUEV0128</t>
  </si>
  <si>
    <t>115 A</t>
  </si>
  <si>
    <t>SKUEV0129</t>
  </si>
  <si>
    <t>116 A</t>
  </si>
  <si>
    <t>SKUEV0130</t>
  </si>
  <si>
    <t>117 A</t>
  </si>
  <si>
    <t>SKUEV0131</t>
  </si>
  <si>
    <t>118 A</t>
  </si>
  <si>
    <t>SKUEV0132</t>
  </si>
  <si>
    <t>119 A,C</t>
  </si>
  <si>
    <t>SKUEV0133</t>
  </si>
  <si>
    <t>120 A</t>
  </si>
  <si>
    <t>SKUEV0134</t>
  </si>
  <si>
    <t>Nitriansky, Trenčiansky</t>
  </si>
  <si>
    <t>121 A</t>
  </si>
  <si>
    <t>SKUEV0135</t>
  </si>
  <si>
    <t>122 A</t>
  </si>
  <si>
    <t>SKUEV0136</t>
  </si>
  <si>
    <t>123 A</t>
  </si>
  <si>
    <t>SKUEV0137</t>
  </si>
  <si>
    <t>124 A</t>
  </si>
  <si>
    <t>SKUEV0138</t>
  </si>
  <si>
    <t>125 A</t>
  </si>
  <si>
    <t>SKUEV0139</t>
  </si>
  <si>
    <t>TANAP</t>
  </si>
  <si>
    <t>126 A</t>
  </si>
  <si>
    <t>SKUEV0140</t>
  </si>
  <si>
    <t>127 A</t>
  </si>
  <si>
    <t>SKUEV0141</t>
  </si>
  <si>
    <t>128 A</t>
  </si>
  <si>
    <t>SKUEV0142</t>
  </si>
  <si>
    <t>129 A</t>
  </si>
  <si>
    <t>SKUEV0143</t>
  </si>
  <si>
    <t>130 A</t>
  </si>
  <si>
    <t>SKUEV0144</t>
  </si>
  <si>
    <t>131 A</t>
  </si>
  <si>
    <t>SKUEV0145</t>
  </si>
  <si>
    <t>132 A</t>
  </si>
  <si>
    <t>SKUEV0146</t>
  </si>
  <si>
    <t>133 A</t>
  </si>
  <si>
    <t>SKUEV0147</t>
  </si>
  <si>
    <t>NP Veľká Fatra</t>
  </si>
  <si>
    <t>134 A</t>
  </si>
  <si>
    <t>SKUEV0148</t>
  </si>
  <si>
    <t>CHKO Biele Karpaty</t>
  </si>
  <si>
    <t>135 A,B</t>
  </si>
  <si>
    <t>SKUEV0149</t>
  </si>
  <si>
    <t>136 A</t>
  </si>
  <si>
    <t>SKUEV0150</t>
  </si>
  <si>
    <t>137 A</t>
  </si>
  <si>
    <t>SKUEV0151</t>
  </si>
  <si>
    <t>138 A,B</t>
  </si>
  <si>
    <t>SKUEV0152</t>
  </si>
  <si>
    <t>139 A</t>
  </si>
  <si>
    <t>SKUEV0153</t>
  </si>
  <si>
    <t>140 A</t>
  </si>
  <si>
    <t>SKUEV0154</t>
  </si>
  <si>
    <t>141 A,C</t>
  </si>
  <si>
    <t>SKUEV0155</t>
  </si>
  <si>
    <t>142 A</t>
  </si>
  <si>
    <t>SKUEV0156</t>
  </si>
  <si>
    <t>143 A</t>
  </si>
  <si>
    <t>SKUEV0157</t>
  </si>
  <si>
    <t>144 A,C</t>
  </si>
  <si>
    <t>SKUEV0158</t>
  </si>
  <si>
    <t>145 A</t>
  </si>
  <si>
    <t>SKUEV0159</t>
  </si>
  <si>
    <t>146 A</t>
  </si>
  <si>
    <t>SKUEV0160</t>
  </si>
  <si>
    <t>147 A</t>
  </si>
  <si>
    <t>SKUEV0161</t>
  </si>
  <si>
    <t>148 A</t>
  </si>
  <si>
    <t>SKUEV0162</t>
  </si>
  <si>
    <t>149 A</t>
  </si>
  <si>
    <t>SKUEV0163</t>
  </si>
  <si>
    <t xml:space="preserve">Bratislavský, Trnavský                                                                   </t>
  </si>
  <si>
    <t>150 A</t>
  </si>
  <si>
    <t>SKUEV0164</t>
  </si>
  <si>
    <t>151 A,C</t>
  </si>
  <si>
    <t>SKUEV0165</t>
  </si>
  <si>
    <t>152 A</t>
  </si>
  <si>
    <t>SKUEV0166</t>
  </si>
  <si>
    <t>Bratislavský, Trnavský</t>
  </si>
  <si>
    <t>153 A</t>
  </si>
  <si>
    <t>SKUEV0167</t>
  </si>
  <si>
    <t>154 A</t>
  </si>
  <si>
    <t>SKUEV0168</t>
  </si>
  <si>
    <t>155 A</t>
  </si>
  <si>
    <t>SKUEV0169</t>
  </si>
  <si>
    <t>156 A</t>
  </si>
  <si>
    <t>SKUEV0170</t>
  </si>
  <si>
    <t>157 A</t>
  </si>
  <si>
    <t>SKUEV0171</t>
  </si>
  <si>
    <t>158 A</t>
  </si>
  <si>
    <t>SKUEV0172</t>
  </si>
  <si>
    <t>159 A,B</t>
  </si>
  <si>
    <t>SKUEV0173</t>
  </si>
  <si>
    <t>160 A</t>
  </si>
  <si>
    <t>SKUEV0174</t>
  </si>
  <si>
    <t>161 A</t>
  </si>
  <si>
    <t>SKUEV0175</t>
  </si>
  <si>
    <t>162 A</t>
  </si>
  <si>
    <t>SKUEV0176</t>
  </si>
  <si>
    <t>163 A</t>
  </si>
  <si>
    <t>SKUEV0177</t>
  </si>
  <si>
    <t>164 A</t>
  </si>
  <si>
    <t>SKUEV0178</t>
  </si>
  <si>
    <t>165 A</t>
  </si>
  <si>
    <t>SKUEV0179</t>
  </si>
  <si>
    <t>166 A</t>
  </si>
  <si>
    <t>SKUEV0180</t>
  </si>
  <si>
    <t>167 A,B</t>
  </si>
  <si>
    <t>SKUEV0182</t>
  </si>
  <si>
    <t>Nitriansky, Trnavský</t>
  </si>
  <si>
    <t>168 A</t>
  </si>
  <si>
    <t>SKUEV0183</t>
  </si>
  <si>
    <t>169 A,C</t>
  </si>
  <si>
    <t>SKUEV0184</t>
  </si>
  <si>
    <t>170 A</t>
  </si>
  <si>
    <t>SKUEV0185</t>
  </si>
  <si>
    <t>171 A</t>
  </si>
  <si>
    <t>SKUEV0186</t>
  </si>
  <si>
    <t>172 A</t>
  </si>
  <si>
    <t>SKUEV0187</t>
  </si>
  <si>
    <t>173 A</t>
  </si>
  <si>
    <t>SKUEV0188</t>
  </si>
  <si>
    <t>174 A</t>
  </si>
  <si>
    <t>SKUEV0189</t>
  </si>
  <si>
    <t>175 A</t>
  </si>
  <si>
    <t>SKUEV0190</t>
  </si>
  <si>
    <t>176 A</t>
  </si>
  <si>
    <t>SKUEV0191</t>
  </si>
  <si>
    <t>177 A</t>
  </si>
  <si>
    <t>SKUEV0192</t>
  </si>
  <si>
    <t>178 A</t>
  </si>
  <si>
    <t>SKUEV0193</t>
  </si>
  <si>
    <t>179 A</t>
  </si>
  <si>
    <t>SKUEV0194</t>
  </si>
  <si>
    <t>180 A</t>
  </si>
  <si>
    <t>SKUEV0196</t>
  </si>
  <si>
    <t>181 A,B</t>
  </si>
  <si>
    <t>SKUEV0197</t>
  </si>
  <si>
    <t>182 A</t>
  </si>
  <si>
    <t>SKUEV0198</t>
  </si>
  <si>
    <t>Banskobystrický, Žilinský</t>
  </si>
  <si>
    <t>183 A</t>
  </si>
  <si>
    <t>SKUEV0199</t>
  </si>
  <si>
    <t>184 A</t>
  </si>
  <si>
    <t>SKUEV0200</t>
  </si>
  <si>
    <t>185 A</t>
  </si>
  <si>
    <t>SKUEV0201</t>
  </si>
  <si>
    <t>186 A</t>
  </si>
  <si>
    <t>SKUEV0202</t>
  </si>
  <si>
    <t>187 A</t>
  </si>
  <si>
    <t>SKUEV0203</t>
  </si>
  <si>
    <t>Banskobystrický, Košický</t>
  </si>
  <si>
    <t>188 A</t>
  </si>
  <si>
    <t>SKUEV0204</t>
  </si>
  <si>
    <t>189 A</t>
  </si>
  <si>
    <t>SKUEV0205</t>
  </si>
  <si>
    <t>190 A</t>
  </si>
  <si>
    <t>SKUEV0206</t>
  </si>
  <si>
    <t>191 A</t>
  </si>
  <si>
    <t>SKUEV0207</t>
  </si>
  <si>
    <t>192 A</t>
  </si>
  <si>
    <t>SKUEV0208</t>
  </si>
  <si>
    <t>193 A</t>
  </si>
  <si>
    <t>SKUEV0209</t>
  </si>
  <si>
    <t>Košický, Prešovský</t>
  </si>
  <si>
    <t>CHKO Vihorlat</t>
  </si>
  <si>
    <t>194 A</t>
  </si>
  <si>
    <t>SKUEV0210</t>
  </si>
  <si>
    <t>195 A</t>
  </si>
  <si>
    <t>SKUEV0211</t>
  </si>
  <si>
    <t>196 A</t>
  </si>
  <si>
    <t>SKUEV0212</t>
  </si>
  <si>
    <t>197 A</t>
  </si>
  <si>
    <t>SKUEV0213</t>
  </si>
  <si>
    <t>198 A,C</t>
  </si>
  <si>
    <t>SKUEV0216</t>
  </si>
  <si>
    <t>199 A</t>
  </si>
  <si>
    <t>SKUEV0217</t>
  </si>
  <si>
    <t>200 A</t>
  </si>
  <si>
    <t>SKUEV0218</t>
  </si>
  <si>
    <t>201 A</t>
  </si>
  <si>
    <t>SKUEV0219</t>
  </si>
  <si>
    <t>202 A</t>
  </si>
  <si>
    <t>SKUEV0220</t>
  </si>
  <si>
    <t>203 A</t>
  </si>
  <si>
    <t>SKUEV0221</t>
  </si>
  <si>
    <t>NP Malá Fatra</t>
  </si>
  <si>
    <t>204 A,C</t>
  </si>
  <si>
    <t>SKUEV0222</t>
  </si>
  <si>
    <t>205 A</t>
  </si>
  <si>
    <t>SKUEV0224</t>
  </si>
  <si>
    <t xml:space="preserve">Prešovský                                                                                           </t>
  </si>
  <si>
    <t>206 A, D</t>
  </si>
  <si>
    <t>SKUEV0225</t>
  </si>
  <si>
    <t>207 A</t>
  </si>
  <si>
    <t>SKUEV0226</t>
  </si>
  <si>
    <t>208 A,B</t>
  </si>
  <si>
    <t>SKUEV0227</t>
  </si>
  <si>
    <t>209 A</t>
  </si>
  <si>
    <t>SKUEV0228</t>
  </si>
  <si>
    <t>210 A</t>
  </si>
  <si>
    <t>SKUEV0229</t>
  </si>
  <si>
    <t>211 A</t>
  </si>
  <si>
    <t>SKUEV0230</t>
  </si>
  <si>
    <t>212 A,C</t>
  </si>
  <si>
    <t>SKUEV0231</t>
  </si>
  <si>
    <t>213 A</t>
  </si>
  <si>
    <t>SKUEV0232</t>
  </si>
  <si>
    <t>214 A</t>
  </si>
  <si>
    <t>SKUEV0233</t>
  </si>
  <si>
    <t>215 A</t>
  </si>
  <si>
    <t>SKUEV0234</t>
  </si>
  <si>
    <t>216 A</t>
  </si>
  <si>
    <t>SKUEV0235</t>
  </si>
  <si>
    <t>217 A</t>
  </si>
  <si>
    <t>SKUEV0236</t>
  </si>
  <si>
    <t>218 A</t>
  </si>
  <si>
    <t>SKUEV0238</t>
  </si>
  <si>
    <t>219 A</t>
  </si>
  <si>
    <t>SKUEV0239</t>
  </si>
  <si>
    <t>220 A,C</t>
  </si>
  <si>
    <t>SKUEV0240</t>
  </si>
  <si>
    <t>221 A</t>
  </si>
  <si>
    <t>SKUEV0241</t>
  </si>
  <si>
    <t>222 A</t>
  </si>
  <si>
    <t>SKUEV0243</t>
  </si>
  <si>
    <t>223 A</t>
  </si>
  <si>
    <t>SKUEV0244</t>
  </si>
  <si>
    <t>224 A</t>
  </si>
  <si>
    <t>SKUEV0245</t>
  </si>
  <si>
    <t>225 A</t>
  </si>
  <si>
    <t>SKUEV0246</t>
  </si>
  <si>
    <t>226 A</t>
  </si>
  <si>
    <t>SKUEV0247</t>
  </si>
  <si>
    <t>227 A</t>
  </si>
  <si>
    <t>SKUEV0248</t>
  </si>
  <si>
    <t>228 A</t>
  </si>
  <si>
    <t>SKUEV0249</t>
  </si>
  <si>
    <t>229 A</t>
  </si>
  <si>
    <t>SKUEV0250</t>
  </si>
  <si>
    <t>230 A,D</t>
  </si>
  <si>
    <t>SKUEV0251</t>
  </si>
  <si>
    <t>231 A</t>
  </si>
  <si>
    <t>SKUEV0252</t>
  </si>
  <si>
    <t>232 A</t>
  </si>
  <si>
    <t>SKUEV0253</t>
  </si>
  <si>
    <t>233 A</t>
  </si>
  <si>
    <t>SKUEV0254</t>
  </si>
  <si>
    <t>234 A</t>
  </si>
  <si>
    <t>SKUEV0255</t>
  </si>
  <si>
    <t>235 A,B</t>
  </si>
  <si>
    <t>SKUEV0256</t>
  </si>
  <si>
    <t>Trenčiansky, Žilinský</t>
  </si>
  <si>
    <t>CHKO Strážovské vrchy</t>
  </si>
  <si>
    <t>236 A</t>
  </si>
  <si>
    <t>SKUEV0257</t>
  </si>
  <si>
    <t>Banskobystrický, Nitriansky</t>
  </si>
  <si>
    <t>237 A</t>
  </si>
  <si>
    <t>SKUEV0258</t>
  </si>
  <si>
    <t>238 A</t>
  </si>
  <si>
    <t>SKUEV0259</t>
  </si>
  <si>
    <t>239 A</t>
  </si>
  <si>
    <t>SKUEV0260</t>
  </si>
  <si>
    <t>240 A</t>
  </si>
  <si>
    <t>SKUEV0261</t>
  </si>
  <si>
    <t>241 A</t>
  </si>
  <si>
    <t>SKUEV0262</t>
  </si>
  <si>
    <t>242 A</t>
  </si>
  <si>
    <t>SKUEV0263</t>
  </si>
  <si>
    <t>243 A</t>
  </si>
  <si>
    <t>SKUEV0264</t>
  </si>
  <si>
    <t>244 A</t>
  </si>
  <si>
    <t>SKUEV0265</t>
  </si>
  <si>
    <t>245 A</t>
  </si>
  <si>
    <t>SKUEV0266</t>
  </si>
  <si>
    <t>246 A,B</t>
  </si>
  <si>
    <t>SKUEV0267</t>
  </si>
  <si>
    <t>247 A</t>
  </si>
  <si>
    <t>SKUEV0268</t>
  </si>
  <si>
    <t>248 A,B</t>
  </si>
  <si>
    <t>SKUEV0269</t>
  </si>
  <si>
    <t>249 A</t>
  </si>
  <si>
    <t>SKUEV0270</t>
  </si>
  <si>
    <t>250 A</t>
  </si>
  <si>
    <t>SKUEV0271</t>
  </si>
  <si>
    <t>251 A,C</t>
  </si>
  <si>
    <t>SKUEV0272</t>
  </si>
  <si>
    <t>252 A</t>
  </si>
  <si>
    <t>SKUEV0273</t>
  </si>
  <si>
    <t xml:space="preserve">Banskobystrický, Trenčiansky </t>
  </si>
  <si>
    <t>253 A</t>
  </si>
  <si>
    <t>SKUEV0274</t>
  </si>
  <si>
    <t>254 A</t>
  </si>
  <si>
    <t>SKUEV0275</t>
  </si>
  <si>
    <t>255 A,B</t>
  </si>
  <si>
    <t>SKUEV0276</t>
  </si>
  <si>
    <t>256 A</t>
  </si>
  <si>
    <t>SKUEV0277</t>
  </si>
  <si>
    <t>257 A,B</t>
  </si>
  <si>
    <t>SKUEV0278</t>
  </si>
  <si>
    <t>Trenčiansky, Trnavský</t>
  </si>
  <si>
    <t>258 A</t>
  </si>
  <si>
    <t>SKUEV0279</t>
  </si>
  <si>
    <t>259 A</t>
  </si>
  <si>
    <t>SKUEV0280</t>
  </si>
  <si>
    <t>260 A</t>
  </si>
  <si>
    <t>SKUEV0281</t>
  </si>
  <si>
    <t>261 A,D</t>
  </si>
  <si>
    <t>SKUEV0282</t>
  </si>
  <si>
    <t>262 A</t>
  </si>
  <si>
    <t>SKUEV0283</t>
  </si>
  <si>
    <t>263 A,C</t>
  </si>
  <si>
    <t>SKUEV0284</t>
  </si>
  <si>
    <t>NP Slovenský kras</t>
  </si>
  <si>
    <t>264 A,C</t>
  </si>
  <si>
    <t>SKUEV0285</t>
  </si>
  <si>
    <t>265 A</t>
  </si>
  <si>
    <t>SKUEV0286</t>
  </si>
  <si>
    <t>Áno PP Markušovská transgresia paleogénu</t>
  </si>
  <si>
    <t>266 A,D</t>
  </si>
  <si>
    <t>SKUEV0287</t>
  </si>
  <si>
    <t>267 A,C</t>
  </si>
  <si>
    <t>SKUEV0288</t>
  </si>
  <si>
    <t>268 A</t>
  </si>
  <si>
    <t>SKUEV0289</t>
  </si>
  <si>
    <t>269 A</t>
  </si>
  <si>
    <t>SKUEV0290</t>
  </si>
  <si>
    <t>270 A</t>
  </si>
  <si>
    <t>SKUEV0291</t>
  </si>
  <si>
    <t>271 A</t>
  </si>
  <si>
    <t>SKUEV0292</t>
  </si>
  <si>
    <t>272 A,B</t>
  </si>
  <si>
    <t>SKUEV0293</t>
  </si>
  <si>
    <t>273 A,C</t>
  </si>
  <si>
    <t>SKUEV0294</t>
  </si>
  <si>
    <t>274 A</t>
  </si>
  <si>
    <t>SKUEV0295</t>
  </si>
  <si>
    <t>275 A</t>
  </si>
  <si>
    <t>SKUEV0296</t>
  </si>
  <si>
    <t>276 A,B</t>
  </si>
  <si>
    <t>SKUEV0297</t>
  </si>
  <si>
    <t>277 A</t>
  </si>
  <si>
    <t>SKUEV0298</t>
  </si>
  <si>
    <t>278 A</t>
  </si>
  <si>
    <t>SKUEV0299</t>
  </si>
  <si>
    <t>279 A</t>
  </si>
  <si>
    <t>SKUEV0300</t>
  </si>
  <si>
    <t>280 A</t>
  </si>
  <si>
    <t>SKUEV0301</t>
  </si>
  <si>
    <t>281 A,B</t>
  </si>
  <si>
    <t>SKUEV0302</t>
  </si>
  <si>
    <t>282 A,B</t>
  </si>
  <si>
    <t>SKUEV0303</t>
  </si>
  <si>
    <t>283 A,C</t>
  </si>
  <si>
    <t>SKUEV0304</t>
  </si>
  <si>
    <t>284 A</t>
  </si>
  <si>
    <t>SKUEV0305</t>
  </si>
  <si>
    <t>285 A</t>
  </si>
  <si>
    <t>SKUEV0306</t>
  </si>
  <si>
    <t>286 A</t>
  </si>
  <si>
    <t>SKUEV0307</t>
  </si>
  <si>
    <t>Žilinský, Prešovský</t>
  </si>
  <si>
    <t>287 A</t>
  </si>
  <si>
    <t>SKUEV0308</t>
  </si>
  <si>
    <t>288 A</t>
  </si>
  <si>
    <t>SKUEV0309</t>
  </si>
  <si>
    <t>289 A,B</t>
  </si>
  <si>
    <t>SKUEV0310</t>
  </si>
  <si>
    <t>Žilinský, Banskobystrický, Prešovský</t>
  </si>
  <si>
    <t>290 A,B</t>
  </si>
  <si>
    <t>SKUEV0311</t>
  </si>
  <si>
    <t>291 A</t>
  </si>
  <si>
    <t>SKUEV0312</t>
  </si>
  <si>
    <t>292 A</t>
  </si>
  <si>
    <t>SKUEV0313</t>
  </si>
  <si>
    <t>293 A</t>
  </si>
  <si>
    <t>SKUEV0314</t>
  </si>
  <si>
    <t>294 A,C</t>
  </si>
  <si>
    <t>SKUEV0315</t>
  </si>
  <si>
    <t>295 A,B</t>
  </si>
  <si>
    <t>SKUEV0316</t>
  </si>
  <si>
    <t>296 A</t>
  </si>
  <si>
    <t>SKUEV0317</t>
  </si>
  <si>
    <t>297 A,C</t>
  </si>
  <si>
    <t>SKUEV0318</t>
  </si>
  <si>
    <t>298 A</t>
  </si>
  <si>
    <t>SKUEV0319</t>
  </si>
  <si>
    <t>299 A</t>
  </si>
  <si>
    <t>SKUEV0320</t>
  </si>
  <si>
    <t>300 A</t>
  </si>
  <si>
    <t>SKUEV0321</t>
  </si>
  <si>
    <t>301 A</t>
  </si>
  <si>
    <t>SKUEV0322</t>
  </si>
  <si>
    <t>302 A</t>
  </si>
  <si>
    <t>SKUEV0323</t>
  </si>
  <si>
    <t>303 A</t>
  </si>
  <si>
    <t>SKUEV0324</t>
  </si>
  <si>
    <t>304 A</t>
  </si>
  <si>
    <t>SKUEV0325</t>
  </si>
  <si>
    <t>305 A</t>
  </si>
  <si>
    <t>SKUEV0326</t>
  </si>
  <si>
    <t>306 A</t>
  </si>
  <si>
    <t>SKUEV0327</t>
  </si>
  <si>
    <t>307 A</t>
  </si>
  <si>
    <t>SKUEV0328</t>
  </si>
  <si>
    <t>308 A</t>
  </si>
  <si>
    <t>SKUEV0329</t>
  </si>
  <si>
    <t>309 A</t>
  </si>
  <si>
    <t>SKUEV0330</t>
  </si>
  <si>
    <t>310 A</t>
  </si>
  <si>
    <t>SKUEV0331</t>
  </si>
  <si>
    <t>311 A</t>
  </si>
  <si>
    <t>SKUEV0332</t>
  </si>
  <si>
    <t>312 A</t>
  </si>
  <si>
    <t>SKUEV0333</t>
  </si>
  <si>
    <t>PIENAP</t>
  </si>
  <si>
    <t>313 A</t>
  </si>
  <si>
    <t>SKUEV0334</t>
  </si>
  <si>
    <t>314 A</t>
  </si>
  <si>
    <t>SKUEV0335</t>
  </si>
  <si>
    <t>315 A</t>
  </si>
  <si>
    <t>SKUEV0336</t>
  </si>
  <si>
    <t>316 A,B</t>
  </si>
  <si>
    <t>SKUEV0337</t>
  </si>
  <si>
    <t>317 A</t>
  </si>
  <si>
    <t>SKUEV0338</t>
  </si>
  <si>
    <t>318 A</t>
  </si>
  <si>
    <t>SKUEV0339</t>
  </si>
  <si>
    <t>319 A</t>
  </si>
  <si>
    <t>SKUEV0340</t>
  </si>
  <si>
    <t>320 A,D</t>
  </si>
  <si>
    <t>SKUEV0341</t>
  </si>
  <si>
    <t>321 A,D</t>
  </si>
  <si>
    <t>SKUEV0342</t>
  </si>
  <si>
    <t>322 A</t>
  </si>
  <si>
    <t>SKUEV0343</t>
  </si>
  <si>
    <t>323 A</t>
  </si>
  <si>
    <t>SKUEV0344</t>
  </si>
  <si>
    <t>324 A,D</t>
  </si>
  <si>
    <t>SKUEV0345</t>
  </si>
  <si>
    <t>325 A</t>
  </si>
  <si>
    <t>SKUEV0346</t>
  </si>
  <si>
    <t>326 A</t>
  </si>
  <si>
    <t>SKUEV0347</t>
  </si>
  <si>
    <t>327 A</t>
  </si>
  <si>
    <t>SKUEV0348</t>
  </si>
  <si>
    <t>328 A</t>
  </si>
  <si>
    <t>SKUEV0349</t>
  </si>
  <si>
    <t>329 A</t>
  </si>
  <si>
    <t>SKUEV0350</t>
  </si>
  <si>
    <t>330 A</t>
  </si>
  <si>
    <t>SKUEV0351</t>
  </si>
  <si>
    <t>331 A</t>
  </si>
  <si>
    <t>SKUEV0352</t>
  </si>
  <si>
    <t>332 A,D</t>
  </si>
  <si>
    <t>SKUEV0353</t>
  </si>
  <si>
    <t>333 A</t>
  </si>
  <si>
    <t>SKUEV0354</t>
  </si>
  <si>
    <t>334 A,D</t>
  </si>
  <si>
    <t>SKUEV0355</t>
  </si>
  <si>
    <t>335 A,D</t>
  </si>
  <si>
    <t>SKUEV0356</t>
  </si>
  <si>
    <t>336 A,B</t>
  </si>
  <si>
    <t>SKUEV0357</t>
  </si>
  <si>
    <t>337 A</t>
  </si>
  <si>
    <t>SKUEV0358</t>
  </si>
  <si>
    <t>338 A</t>
  </si>
  <si>
    <t>SKUEV0359</t>
  </si>
  <si>
    <t>339 A</t>
  </si>
  <si>
    <t>SKUEV0360</t>
  </si>
  <si>
    <t>340 A</t>
  </si>
  <si>
    <t>SKUEV0361</t>
  </si>
  <si>
    <t>341 A,B</t>
  </si>
  <si>
    <t>SKUEV0362</t>
  </si>
  <si>
    <t>342 A</t>
  </si>
  <si>
    <t>SKUEV0363</t>
  </si>
  <si>
    <t>343 A</t>
  </si>
  <si>
    <t>SKUEV0364</t>
  </si>
  <si>
    <t>344 A</t>
  </si>
  <si>
    <t>SKUEV0365</t>
  </si>
  <si>
    <t>345 A,C</t>
  </si>
  <si>
    <t>SKUEV0366</t>
  </si>
  <si>
    <t>346 A,C</t>
  </si>
  <si>
    <t>SKUEV0367</t>
  </si>
  <si>
    <t>347 A,C</t>
  </si>
  <si>
    <t>SKUEV0368</t>
  </si>
  <si>
    <t>348 A</t>
  </si>
  <si>
    <t>SKUEV0369</t>
  </si>
  <si>
    <t>349 A,D</t>
  </si>
  <si>
    <t>SKUEV0371</t>
  </si>
  <si>
    <t>350 A,D</t>
  </si>
  <si>
    <t>SKUEV0372</t>
  </si>
  <si>
    <t>351 A</t>
  </si>
  <si>
    <t>SKUEV0373</t>
  </si>
  <si>
    <t>352 A</t>
  </si>
  <si>
    <t>SKUEV0374</t>
  </si>
  <si>
    <t>353 A,B</t>
  </si>
  <si>
    <t>SKUEV0375</t>
  </si>
  <si>
    <t>354 A,C</t>
  </si>
  <si>
    <t>SKUEV0376</t>
  </si>
  <si>
    <t>355 A</t>
  </si>
  <si>
    <t>SKUEV0377</t>
  </si>
  <si>
    <t>356 A</t>
  </si>
  <si>
    <t>SKUEV0378</t>
  </si>
  <si>
    <t>357 A</t>
  </si>
  <si>
    <t>SKUEV0379</t>
  </si>
  <si>
    <t>358 A</t>
  </si>
  <si>
    <t>SKUEV0380</t>
  </si>
  <si>
    <t>359 A</t>
  </si>
  <si>
    <t>SKUEV0381</t>
  </si>
  <si>
    <t>360 A</t>
  </si>
  <si>
    <t>SKUEV0382</t>
  </si>
  <si>
    <t>361 A</t>
  </si>
  <si>
    <t>SKUEV0383</t>
  </si>
  <si>
    <t>362 A</t>
  </si>
  <si>
    <t>SKUEV0384</t>
  </si>
  <si>
    <t>363 A</t>
  </si>
  <si>
    <t>SKUEV0385</t>
  </si>
  <si>
    <t>364 A</t>
  </si>
  <si>
    <t>SKUEV0386</t>
  </si>
  <si>
    <t>365 A,B</t>
  </si>
  <si>
    <t>SKUEV0387</t>
  </si>
  <si>
    <t>366 A,B</t>
  </si>
  <si>
    <t>SKUEV0388</t>
  </si>
  <si>
    <t>367 A</t>
  </si>
  <si>
    <t>SKUEV0390</t>
  </si>
  <si>
    <t>368 A,C</t>
  </si>
  <si>
    <t>SKUEV0392</t>
  </si>
  <si>
    <t>369 A,C</t>
  </si>
  <si>
    <t>SKUEV0393</t>
  </si>
  <si>
    <t>370 A</t>
  </si>
  <si>
    <t>SKUEV0395</t>
  </si>
  <si>
    <t>371 A</t>
  </si>
  <si>
    <t>SKUEV0397</t>
  </si>
  <si>
    <t>372 A,D</t>
  </si>
  <si>
    <t>SKUEV0398</t>
  </si>
  <si>
    <t>373 A</t>
  </si>
  <si>
    <t>SKUEV0399</t>
  </si>
  <si>
    <t>374 A</t>
  </si>
  <si>
    <t>SKUEV0400</t>
  </si>
  <si>
    <t>375 A</t>
  </si>
  <si>
    <t>SKUEV0401</t>
  </si>
  <si>
    <t>376 A</t>
  </si>
  <si>
    <t>SKUEV0402</t>
  </si>
  <si>
    <t>377 B</t>
  </si>
  <si>
    <t>SKUEV0502</t>
  </si>
  <si>
    <t>378 B</t>
  </si>
  <si>
    <t>SKUEV0503</t>
  </si>
  <si>
    <t>379 B</t>
  </si>
  <si>
    <t>SKUEV0506</t>
  </si>
  <si>
    <t>380 B</t>
  </si>
  <si>
    <t>SKUEV0512</t>
  </si>
  <si>
    <t>381 B</t>
  </si>
  <si>
    <t>SKUEV0513</t>
  </si>
  <si>
    <t>382 B</t>
  </si>
  <si>
    <t>SKUEV0520</t>
  </si>
  <si>
    <t>383 B</t>
  </si>
  <si>
    <t>SKUEV0523</t>
  </si>
  <si>
    <t>384 B</t>
  </si>
  <si>
    <t>SKUEV0526</t>
  </si>
  <si>
    <t>385 B</t>
  </si>
  <si>
    <t>SKUEV0527</t>
  </si>
  <si>
    <t>386 B</t>
  </si>
  <si>
    <t>SKUEV0552</t>
  </si>
  <si>
    <t>387 B</t>
  </si>
  <si>
    <t>SKUEV0563</t>
  </si>
  <si>
    <t>388 B</t>
  </si>
  <si>
    <t>SKUEV0564</t>
  </si>
  <si>
    <t>389 B</t>
  </si>
  <si>
    <t>SKUEV0565</t>
  </si>
  <si>
    <t>Trenčiansky, Nitriansky</t>
  </si>
  <si>
    <t>390 B</t>
  </si>
  <si>
    <t>SKUEV0566</t>
  </si>
  <si>
    <t>391 B</t>
  </si>
  <si>
    <t>SKUEV0567</t>
  </si>
  <si>
    <t>392 B</t>
  </si>
  <si>
    <t>SKUEV0568</t>
  </si>
  <si>
    <t>393 B</t>
  </si>
  <si>
    <t>SKUEV0569</t>
  </si>
  <si>
    <t>394 B</t>
  </si>
  <si>
    <t>SKUEV0575</t>
  </si>
  <si>
    <t>395 B</t>
  </si>
  <si>
    <t>SKUEV0576</t>
  </si>
  <si>
    <t>396 B</t>
  </si>
  <si>
    <t>SKUEV0578</t>
  </si>
  <si>
    <t>397 B</t>
  </si>
  <si>
    <t>SKUEV0579</t>
  </si>
  <si>
    <t>398 B</t>
  </si>
  <si>
    <t>SKUEV0580</t>
  </si>
  <si>
    <t>399 B</t>
  </si>
  <si>
    <t>SKUEV0581</t>
  </si>
  <si>
    <t>400 B</t>
  </si>
  <si>
    <t>SKUEV0588</t>
  </si>
  <si>
    <t>401 B</t>
  </si>
  <si>
    <t>SKUEV0589</t>
  </si>
  <si>
    <t>402 B</t>
  </si>
  <si>
    <t>SKUEV0590</t>
  </si>
  <si>
    <t>403 B</t>
  </si>
  <si>
    <t>SKUEV0593</t>
  </si>
  <si>
    <t>404 B</t>
  </si>
  <si>
    <t>SKUEV0638</t>
  </si>
  <si>
    <t>405 B</t>
  </si>
  <si>
    <t>SKUEV0640</t>
  </si>
  <si>
    <t>406 B</t>
  </si>
  <si>
    <t>SKUEV0641</t>
  </si>
  <si>
    <t>407 B</t>
  </si>
  <si>
    <t>SKUEV0642</t>
  </si>
  <si>
    <t>408 B</t>
  </si>
  <si>
    <t>SKUEV0643</t>
  </si>
  <si>
    <t>409 B</t>
  </si>
  <si>
    <t>SKUEV0644</t>
  </si>
  <si>
    <t>410 B</t>
  </si>
  <si>
    <t>SKUEV0647</t>
  </si>
  <si>
    <t>411 B</t>
  </si>
  <si>
    <t>SKUEV0648</t>
  </si>
  <si>
    <t>412 B</t>
  </si>
  <si>
    <t>SKUEV0655</t>
  </si>
  <si>
    <t>413 B</t>
  </si>
  <si>
    <t>SKUEV0657</t>
  </si>
  <si>
    <t>414 B</t>
  </si>
  <si>
    <t>SKUEV0658</t>
  </si>
  <si>
    <t>415 B</t>
  </si>
  <si>
    <t>SKUEV0659</t>
  </si>
  <si>
    <t>416 B</t>
  </si>
  <si>
    <t>SKUEV0660</t>
  </si>
  <si>
    <t>417 B</t>
  </si>
  <si>
    <t>SKUEV0661</t>
  </si>
  <si>
    <t>418 B</t>
  </si>
  <si>
    <t>SKUEV0662</t>
  </si>
  <si>
    <t>419 B</t>
  </si>
  <si>
    <t>SKUEV0663</t>
  </si>
  <si>
    <t>420 B</t>
  </si>
  <si>
    <t>SKUEV0664</t>
  </si>
  <si>
    <t>421 B</t>
  </si>
  <si>
    <t>SKUEV0665</t>
  </si>
  <si>
    <t>422 B</t>
  </si>
  <si>
    <t>SKUEV0667</t>
  </si>
  <si>
    <t>423 B</t>
  </si>
  <si>
    <t>SKUEV0669</t>
  </si>
  <si>
    <t>424 B</t>
  </si>
  <si>
    <t>SKUEV0671</t>
  </si>
  <si>
    <t>425 B</t>
  </si>
  <si>
    <t>SKUEV0684</t>
  </si>
  <si>
    <t>426 B</t>
  </si>
  <si>
    <t>SKUEV0694</t>
  </si>
  <si>
    <t>427 B</t>
  </si>
  <si>
    <t>SKUEV0695</t>
  </si>
  <si>
    <t>428 B</t>
  </si>
  <si>
    <t>SKUEV0708</t>
  </si>
  <si>
    <t>429 B</t>
  </si>
  <si>
    <t>SKUEV0709</t>
  </si>
  <si>
    <t>430 B</t>
  </si>
  <si>
    <t>SKUEV0712</t>
  </si>
  <si>
    <t>431 B,D</t>
  </si>
  <si>
    <t>SKUEV0728</t>
  </si>
  <si>
    <t>NP Muránska Planina</t>
  </si>
  <si>
    <t>432 B</t>
  </si>
  <si>
    <t>SKUEV0729</t>
  </si>
  <si>
    <t>433 B</t>
  </si>
  <si>
    <t>SKUEV0730</t>
  </si>
  <si>
    <t>434 B</t>
  </si>
  <si>
    <t>SKUEV0737</t>
  </si>
  <si>
    <t>435 B</t>
  </si>
  <si>
    <t>SKUEV0754</t>
  </si>
  <si>
    <t>436 B</t>
  </si>
  <si>
    <t>SKUEV0755</t>
  </si>
  <si>
    <t>437 B</t>
  </si>
  <si>
    <t>SKUEV0759</t>
  </si>
  <si>
    <t>438 B</t>
  </si>
  <si>
    <t>SKUEV0761</t>
  </si>
  <si>
    <t>439 B</t>
  </si>
  <si>
    <t>SKUEV0763</t>
  </si>
  <si>
    <t>440 B</t>
  </si>
  <si>
    <t>SKUEV0777</t>
  </si>
  <si>
    <t>441 B,D</t>
  </si>
  <si>
    <t>SKUEV0778</t>
  </si>
  <si>
    <t>442 B</t>
  </si>
  <si>
    <t>SKUEV0782</t>
  </si>
  <si>
    <t>443 B</t>
  </si>
  <si>
    <t>SKUEV0784</t>
  </si>
  <si>
    <t>444 B</t>
  </si>
  <si>
    <t>SKUEV0785</t>
  </si>
  <si>
    <t>445 C</t>
  </si>
  <si>
    <t>SKUEV0800</t>
  </si>
  <si>
    <t xml:space="preserve">PAN </t>
  </si>
  <si>
    <t xml:space="preserve">Bratislavský </t>
  </si>
  <si>
    <t>446 C</t>
  </si>
  <si>
    <t>SKUEV0801</t>
  </si>
  <si>
    <t xml:space="preserve"> ALP </t>
  </si>
  <si>
    <t xml:space="preserve">Trenčiansky </t>
  </si>
  <si>
    <t xml:space="preserve"> CHKO Biele Karpaty</t>
  </si>
  <si>
    <t>447 C</t>
  </si>
  <si>
    <t>SKUEV0802</t>
  </si>
  <si>
    <t xml:space="preserve">ALP </t>
  </si>
  <si>
    <t xml:space="preserve">CHKO Biele Karpaty </t>
  </si>
  <si>
    <t>448 C</t>
  </si>
  <si>
    <t>SKUEV0803</t>
  </si>
  <si>
    <t>449 C</t>
  </si>
  <si>
    <t>SKUEV0804</t>
  </si>
  <si>
    <t>Trnavský Trenčiansky</t>
  </si>
  <si>
    <t>450 C</t>
  </si>
  <si>
    <t>SKUEV0805</t>
  </si>
  <si>
    <t>451 C</t>
  </si>
  <si>
    <t>SKUEV0806</t>
  </si>
  <si>
    <t>452 C</t>
  </si>
  <si>
    <t>SKUEV0807</t>
  </si>
  <si>
    <t>453 C</t>
  </si>
  <si>
    <t>SKUEV0808</t>
  </si>
  <si>
    <t>454 C</t>
  </si>
  <si>
    <t>SKUEV0809</t>
  </si>
  <si>
    <t>455 C</t>
  </si>
  <si>
    <t>SKUEV0810</t>
  </si>
  <si>
    <t>456 C</t>
  </si>
  <si>
    <t>SKUEV0811</t>
  </si>
  <si>
    <t>457 C</t>
  </si>
  <si>
    <t>SKUEV0812</t>
  </si>
  <si>
    <t>458 C</t>
  </si>
  <si>
    <t>SKUEV0813</t>
  </si>
  <si>
    <t>459 C,D</t>
  </si>
  <si>
    <t>SKUEV0814</t>
  </si>
  <si>
    <t>CHKO Cerová vrchovina</t>
  </si>
  <si>
    <t>460 C</t>
  </si>
  <si>
    <t>SKUEV0816</t>
  </si>
  <si>
    <t>461 C</t>
  </si>
  <si>
    <t>SKUEV0817</t>
  </si>
  <si>
    <t>462 C</t>
  </si>
  <si>
    <t>SKUEV0819</t>
  </si>
  <si>
    <t xml:space="preserve"> PAN </t>
  </si>
  <si>
    <t>CHKO Dunajské Luhy</t>
  </si>
  <si>
    <t>463 C</t>
  </si>
  <si>
    <t>SKUEV0820</t>
  </si>
  <si>
    <t xml:space="preserve">Nitriansky  </t>
  </si>
  <si>
    <t>464 C</t>
  </si>
  <si>
    <t>SKUEV0822</t>
  </si>
  <si>
    <t>Bratislavský Trnavský Nitriansky</t>
  </si>
  <si>
    <t xml:space="preserve">  CHKO Dunajské Luhy</t>
  </si>
  <si>
    <t>465 C</t>
  </si>
  <si>
    <t>SKUEV0823</t>
  </si>
  <si>
    <t>466 C</t>
  </si>
  <si>
    <t>SKUEV0824</t>
  </si>
  <si>
    <t>467 C</t>
  </si>
  <si>
    <t>SKUEV0826</t>
  </si>
  <si>
    <t>468 C</t>
  </si>
  <si>
    <t>SKUEV0828</t>
  </si>
  <si>
    <t>469 C</t>
  </si>
  <si>
    <t>SKUEV0830</t>
  </si>
  <si>
    <t xml:space="preserve"> CHKO Kysuce</t>
  </si>
  <si>
    <t>470 C</t>
  </si>
  <si>
    <t>SKUEV0831</t>
  </si>
  <si>
    <t>471 C</t>
  </si>
  <si>
    <t>SKUEV0832</t>
  </si>
  <si>
    <t xml:space="preserve"> CHKO Kysuce </t>
  </si>
  <si>
    <t>472 C</t>
  </si>
  <si>
    <t>SKUEV0833</t>
  </si>
  <si>
    <t>473 C</t>
  </si>
  <si>
    <t>SKUEV0834</t>
  </si>
  <si>
    <t xml:space="preserve">Žilinský </t>
  </si>
  <si>
    <t>474 C</t>
  </si>
  <si>
    <t>SKUEV0835</t>
  </si>
  <si>
    <t>475 C</t>
  </si>
  <si>
    <t>SKUEV0836</t>
  </si>
  <si>
    <t>476 C</t>
  </si>
  <si>
    <t>SKUEV0838</t>
  </si>
  <si>
    <t>477 C</t>
  </si>
  <si>
    <t>SKUEV0839</t>
  </si>
  <si>
    <t>478 C</t>
  </si>
  <si>
    <t>SKUEV0841</t>
  </si>
  <si>
    <t>479 C</t>
  </si>
  <si>
    <t>SKUEV0843</t>
  </si>
  <si>
    <t xml:space="preserve"> CHKO Latorica</t>
  </si>
  <si>
    <t>480 C</t>
  </si>
  <si>
    <t>SKUEV0844</t>
  </si>
  <si>
    <t xml:space="preserve">  CHKO Latorica</t>
  </si>
  <si>
    <t>481 C</t>
  </si>
  <si>
    <t>SKUEV0845</t>
  </si>
  <si>
    <t xml:space="preserve">  CHKO Latorica </t>
  </si>
  <si>
    <t>482 C</t>
  </si>
  <si>
    <t>SKUEV0846</t>
  </si>
  <si>
    <t xml:space="preserve"> CHKO Latorica </t>
  </si>
  <si>
    <t>483 C</t>
  </si>
  <si>
    <t>SKUEV0847</t>
  </si>
  <si>
    <t>484 C</t>
  </si>
  <si>
    <t>SKUEV0852</t>
  </si>
  <si>
    <t>485 C</t>
  </si>
  <si>
    <t>SKUEV0853</t>
  </si>
  <si>
    <t xml:space="preserve"> CHKO Malé Karpaty</t>
  </si>
  <si>
    <t>486 C</t>
  </si>
  <si>
    <t>SKUEV0855</t>
  </si>
  <si>
    <t xml:space="preserve"> ALP</t>
  </si>
  <si>
    <t xml:space="preserve"> Banskobystrický</t>
  </si>
  <si>
    <t xml:space="preserve"> CHKO Poľana</t>
  </si>
  <si>
    <t>487 C</t>
  </si>
  <si>
    <t>SKUEV0856</t>
  </si>
  <si>
    <t>488 C</t>
  </si>
  <si>
    <t>SKUEV0857</t>
  </si>
  <si>
    <t>489 C</t>
  </si>
  <si>
    <t>SKUEV0858</t>
  </si>
  <si>
    <t>490 C</t>
  </si>
  <si>
    <t>SKUEV0859</t>
  </si>
  <si>
    <t>491 C</t>
  </si>
  <si>
    <t>SKUEV0860</t>
  </si>
  <si>
    <t>492 C</t>
  </si>
  <si>
    <t>SKUEV0861</t>
  </si>
  <si>
    <t>493 C</t>
  </si>
  <si>
    <t>SKUEV0862</t>
  </si>
  <si>
    <t>494 C</t>
  </si>
  <si>
    <t>SKUEV0863</t>
  </si>
  <si>
    <t>495 C</t>
  </si>
  <si>
    <t>SKUEV0864</t>
  </si>
  <si>
    <t>496 C</t>
  </si>
  <si>
    <t>SKUEV0865</t>
  </si>
  <si>
    <t>Nitriansky Banskobystrický</t>
  </si>
  <si>
    <t>497 C</t>
  </si>
  <si>
    <t>SKUEV0867</t>
  </si>
  <si>
    <t>498 C</t>
  </si>
  <si>
    <t>SKUEV0868</t>
  </si>
  <si>
    <t>499 C</t>
  </si>
  <si>
    <t>SKUEV0869</t>
  </si>
  <si>
    <t>500 C</t>
  </si>
  <si>
    <t>SKUEV0870</t>
  </si>
  <si>
    <t>501 C</t>
  </si>
  <si>
    <t>SKUEV0871</t>
  </si>
  <si>
    <t>502 C</t>
  </si>
  <si>
    <t>SKUEV0872</t>
  </si>
  <si>
    <t>503 C</t>
  </si>
  <si>
    <t>SKUEV0873</t>
  </si>
  <si>
    <t>504 C</t>
  </si>
  <si>
    <t>SKUEV0874</t>
  </si>
  <si>
    <t>505 C</t>
  </si>
  <si>
    <t>SKUEV0875</t>
  </si>
  <si>
    <t>506 C</t>
  </si>
  <si>
    <t>SKUEV0876</t>
  </si>
  <si>
    <t>507 C</t>
  </si>
  <si>
    <t>SKUEV0877</t>
  </si>
  <si>
    <t>508 C</t>
  </si>
  <si>
    <t>SKUEV0879</t>
  </si>
  <si>
    <t>509 C,D</t>
  </si>
  <si>
    <t>SKUEV0880</t>
  </si>
  <si>
    <t>510 C</t>
  </si>
  <si>
    <t>SKUEV0881</t>
  </si>
  <si>
    <t xml:space="preserve"> Trenčiansky</t>
  </si>
  <si>
    <t>511 C</t>
  </si>
  <si>
    <t>SKUEV0882</t>
  </si>
  <si>
    <t xml:space="preserve"> CHKO Ponitrie</t>
  </si>
  <si>
    <t>512 C</t>
  </si>
  <si>
    <t>SKUEV0883</t>
  </si>
  <si>
    <t>513 C</t>
  </si>
  <si>
    <t>SKUEV0885</t>
  </si>
  <si>
    <t xml:space="preserve"> Žilinský</t>
  </si>
  <si>
    <t>514 C</t>
  </si>
  <si>
    <t>SKUEV0889</t>
  </si>
  <si>
    <t>515 C</t>
  </si>
  <si>
    <t>SKUEV0890</t>
  </si>
  <si>
    <t>516 C</t>
  </si>
  <si>
    <t>SKUEV0891</t>
  </si>
  <si>
    <t>517 C</t>
  </si>
  <si>
    <t>SKUEV0892</t>
  </si>
  <si>
    <t>518 C</t>
  </si>
  <si>
    <t>SKUEV0893</t>
  </si>
  <si>
    <t>519 C</t>
  </si>
  <si>
    <t>SKUEV0894</t>
  </si>
  <si>
    <t>520 C</t>
  </si>
  <si>
    <t>SKUEV0895</t>
  </si>
  <si>
    <t>521 C,D</t>
  </si>
  <si>
    <t>SKUEV0896</t>
  </si>
  <si>
    <t>522 C</t>
  </si>
  <si>
    <t>SKUEV0897</t>
  </si>
  <si>
    <t>523 C</t>
  </si>
  <si>
    <t>SKUEV0899</t>
  </si>
  <si>
    <t xml:space="preserve">Trnavský </t>
  </si>
  <si>
    <t>524 C</t>
  </si>
  <si>
    <t>SKUEV0900</t>
  </si>
  <si>
    <t>525 C</t>
  </si>
  <si>
    <t>SKUEV0901</t>
  </si>
  <si>
    <t xml:space="preserve">Trnavský Trenčiansky </t>
  </si>
  <si>
    <t>526 C</t>
  </si>
  <si>
    <t>SKUEV0902</t>
  </si>
  <si>
    <t>527 C</t>
  </si>
  <si>
    <t>SKUEV0903</t>
  </si>
  <si>
    <t>528 C</t>
  </si>
  <si>
    <t>SKUEV0904</t>
  </si>
  <si>
    <t>529 C</t>
  </si>
  <si>
    <t>SKUEV0905</t>
  </si>
  <si>
    <t>530 C</t>
  </si>
  <si>
    <t>SKUEV0906</t>
  </si>
  <si>
    <t xml:space="preserve"> Trnavský </t>
  </si>
  <si>
    <t>531 C</t>
  </si>
  <si>
    <t>SKUEV0907</t>
  </si>
  <si>
    <t>532 C</t>
  </si>
  <si>
    <t>SKUEV0908</t>
  </si>
  <si>
    <t>533 C</t>
  </si>
  <si>
    <t>SKUEV0911</t>
  </si>
  <si>
    <t xml:space="preserve"> Bratislavský </t>
  </si>
  <si>
    <t>534 C</t>
  </si>
  <si>
    <t>SKUEV0917</t>
  </si>
  <si>
    <t xml:space="preserve">Košický  </t>
  </si>
  <si>
    <t>535 C</t>
  </si>
  <si>
    <t>SKUEV0918</t>
  </si>
  <si>
    <t>536 C</t>
  </si>
  <si>
    <t>SKUEV0919</t>
  </si>
  <si>
    <t>537 C</t>
  </si>
  <si>
    <t>SKUEV0920</t>
  </si>
  <si>
    <t>538 C</t>
  </si>
  <si>
    <t>SKUEV0921</t>
  </si>
  <si>
    <t xml:space="preserve"> Košický  </t>
  </si>
  <si>
    <t>539 C</t>
  </si>
  <si>
    <t>SKUEV0922</t>
  </si>
  <si>
    <t>540 C</t>
  </si>
  <si>
    <t>SKUEV0924</t>
  </si>
  <si>
    <t>541 C</t>
  </si>
  <si>
    <t>SKUEV0925</t>
  </si>
  <si>
    <t>542 C</t>
  </si>
  <si>
    <t>SKUEV0926</t>
  </si>
  <si>
    <t>543 C</t>
  </si>
  <si>
    <t>SKUEV0927</t>
  </si>
  <si>
    <t>544 C</t>
  </si>
  <si>
    <t>SKUEV0928</t>
  </si>
  <si>
    <t>545 C</t>
  </si>
  <si>
    <t>SKUEV0929</t>
  </si>
  <si>
    <t>546 C</t>
  </si>
  <si>
    <t>SKUEV0930</t>
  </si>
  <si>
    <t>547 C</t>
  </si>
  <si>
    <t>SKUEV0931</t>
  </si>
  <si>
    <t>548 C</t>
  </si>
  <si>
    <t>SKUEV0932</t>
  </si>
  <si>
    <t>549 C</t>
  </si>
  <si>
    <t>SKUEV0933</t>
  </si>
  <si>
    <t>550 C</t>
  </si>
  <si>
    <t>SKUEV0934</t>
  </si>
  <si>
    <t>551 C</t>
  </si>
  <si>
    <t>SKUEV0935</t>
  </si>
  <si>
    <t>552 C</t>
  </si>
  <si>
    <t>SKUEV0936</t>
  </si>
  <si>
    <t>553 C</t>
  </si>
  <si>
    <t>SKUEV0937</t>
  </si>
  <si>
    <t>554 C</t>
  </si>
  <si>
    <t>SKUEV0938</t>
  </si>
  <si>
    <t>555 C</t>
  </si>
  <si>
    <t>SKUEV0939</t>
  </si>
  <si>
    <t>556 C</t>
  </si>
  <si>
    <t>SKUEV0940</t>
  </si>
  <si>
    <t xml:space="preserve">Prešovský Košický  </t>
  </si>
  <si>
    <t>557 C</t>
  </si>
  <si>
    <t>SKUEV0941</t>
  </si>
  <si>
    <t>558 C</t>
  </si>
  <si>
    <t>SKUEV0942</t>
  </si>
  <si>
    <t>559 C</t>
  </si>
  <si>
    <t>SKUEV0943</t>
  </si>
  <si>
    <t>560 C</t>
  </si>
  <si>
    <t>SKUEV0944</t>
  </si>
  <si>
    <t>561 C</t>
  </si>
  <si>
    <t>SKUEV0945</t>
  </si>
  <si>
    <t>562 C</t>
  </si>
  <si>
    <t>SKUEV0947</t>
  </si>
  <si>
    <t>563 C</t>
  </si>
  <si>
    <t>SKUEV0948</t>
  </si>
  <si>
    <t>564 C</t>
  </si>
  <si>
    <t>SKUEV0950</t>
  </si>
  <si>
    <t>565 C</t>
  </si>
  <si>
    <t>SKUEV0951</t>
  </si>
  <si>
    <t>566 C</t>
  </si>
  <si>
    <t>SKUEV0952</t>
  </si>
  <si>
    <t>567 C</t>
  </si>
  <si>
    <t>SKUEV0953</t>
  </si>
  <si>
    <t>568 C</t>
  </si>
  <si>
    <t>SKUEV0954</t>
  </si>
  <si>
    <t>569 C</t>
  </si>
  <si>
    <t>SKUEV0956</t>
  </si>
  <si>
    <t>570 C</t>
  </si>
  <si>
    <t>SKUEV0957</t>
  </si>
  <si>
    <t xml:space="preserve"> Banskobystrický </t>
  </si>
  <si>
    <t>571 C</t>
  </si>
  <si>
    <t>SKUEV0958</t>
  </si>
  <si>
    <t>572 C</t>
  </si>
  <si>
    <t>SKUEV0959</t>
  </si>
  <si>
    <t>573 C</t>
  </si>
  <si>
    <t>SKUEV0960</t>
  </si>
  <si>
    <t>574 C</t>
  </si>
  <si>
    <t>SKUEV0963</t>
  </si>
  <si>
    <t>575 C</t>
  </si>
  <si>
    <t>SKUEV0964</t>
  </si>
  <si>
    <t>576 C</t>
  </si>
  <si>
    <t>SKUEV0965</t>
  </si>
  <si>
    <t>577 C</t>
  </si>
  <si>
    <t>SKUEV0966</t>
  </si>
  <si>
    <t>578 C</t>
  </si>
  <si>
    <t>SKUEV0967</t>
  </si>
  <si>
    <t>579 C</t>
  </si>
  <si>
    <t>SKUEV0968</t>
  </si>
  <si>
    <t>580 C</t>
  </si>
  <si>
    <t>SKUEV0969</t>
  </si>
  <si>
    <t>581 D</t>
  </si>
  <si>
    <t>582 D</t>
  </si>
  <si>
    <t>583 D</t>
  </si>
  <si>
    <t>584 D</t>
  </si>
  <si>
    <t>585 D</t>
  </si>
  <si>
    <t>586 D</t>
  </si>
  <si>
    <t>587 D</t>
  </si>
  <si>
    <t>588 D</t>
  </si>
  <si>
    <t>589 D</t>
  </si>
  <si>
    <t>590 D</t>
  </si>
  <si>
    <t>591 D</t>
  </si>
  <si>
    <t>592 D</t>
  </si>
  <si>
    <t>593 D</t>
  </si>
  <si>
    <t>594 D</t>
  </si>
  <si>
    <t>595 D</t>
  </si>
  <si>
    <t>596 D</t>
  </si>
  <si>
    <t>597 D</t>
  </si>
  <si>
    <t>598 D</t>
  </si>
  <si>
    <t>599 D</t>
  </si>
  <si>
    <t>600 D</t>
  </si>
  <si>
    <t>601 D</t>
  </si>
  <si>
    <t>602 D</t>
  </si>
  <si>
    <t>603 D</t>
  </si>
  <si>
    <t>604 D</t>
  </si>
  <si>
    <t>605 D</t>
  </si>
  <si>
    <t>606 D</t>
  </si>
  <si>
    <t>607 D</t>
  </si>
  <si>
    <t>608 D</t>
  </si>
  <si>
    <t>609 D</t>
  </si>
  <si>
    <t>610 D</t>
  </si>
  <si>
    <t>611 D</t>
  </si>
  <si>
    <t>612 D</t>
  </si>
  <si>
    <t>613 D</t>
  </si>
  <si>
    <t>614 D</t>
  </si>
  <si>
    <t>615 D</t>
  </si>
  <si>
    <t>616 D</t>
  </si>
  <si>
    <t>617 D</t>
  </si>
  <si>
    <t>618 D</t>
  </si>
  <si>
    <t>619 D</t>
  </si>
  <si>
    <t>620 D</t>
  </si>
  <si>
    <t>621 D</t>
  </si>
  <si>
    <t>622 D</t>
  </si>
  <si>
    <t>623 D</t>
  </si>
  <si>
    <t>624 D</t>
  </si>
  <si>
    <t>625 D</t>
  </si>
  <si>
    <t>626 D</t>
  </si>
  <si>
    <t>627 D</t>
  </si>
  <si>
    <t>628 D</t>
  </si>
  <si>
    <t>629 D</t>
  </si>
  <si>
    <t>630 D</t>
  </si>
  <si>
    <t>631 D</t>
  </si>
  <si>
    <t>632 D</t>
  </si>
  <si>
    <t>633 D</t>
  </si>
  <si>
    <t>634 D</t>
  </si>
  <si>
    <t>635 D</t>
  </si>
  <si>
    <t>636 D</t>
  </si>
  <si>
    <t>637 D</t>
  </si>
  <si>
    <t>638 D</t>
  </si>
  <si>
    <t>639 D</t>
  </si>
  <si>
    <t>640 D</t>
  </si>
  <si>
    <t>641 D</t>
  </si>
  <si>
    <t>642 D</t>
  </si>
  <si>
    <t>643 D</t>
  </si>
  <si>
    <t>644 D</t>
  </si>
  <si>
    <t>Názov ÚEV, schválený názvoslovnou komisiou, odkaz na mapu</t>
  </si>
  <si>
    <t>Výmera ÚEV k 1.1.2024 (ha)</t>
  </si>
  <si>
    <t>SKUEV4000</t>
  </si>
  <si>
    <t>SKUEV4001</t>
  </si>
  <si>
    <t>SKUEV4004</t>
  </si>
  <si>
    <t>SKUEV4014</t>
  </si>
  <si>
    <t>SKUEV4016</t>
  </si>
  <si>
    <t>SKUEV4028</t>
  </si>
  <si>
    <t>SKUEV4032</t>
  </si>
  <si>
    <t>SKUEV4036</t>
  </si>
  <si>
    <t>SKUEV4038</t>
  </si>
  <si>
    <t>SKUEV4054</t>
  </si>
  <si>
    <t>SKUEV4056</t>
  </si>
  <si>
    <t>SKUEV4076</t>
  </si>
  <si>
    <t>SKUEV4082</t>
  </si>
  <si>
    <t>SKUEV4105</t>
  </si>
  <si>
    <t>SKUEV4002</t>
  </si>
  <si>
    <t>SKUEV4003</t>
  </si>
  <si>
    <t>SKUEV4005</t>
  </si>
  <si>
    <t>SKUEV4006</t>
  </si>
  <si>
    <t>SKUEV4007</t>
  </si>
  <si>
    <t>SKUEV4008</t>
  </si>
  <si>
    <t>SKUEV4009</t>
  </si>
  <si>
    <t>SKUEV4010</t>
  </si>
  <si>
    <t>SKUEV4011</t>
  </si>
  <si>
    <t>SKUEV4012</t>
  </si>
  <si>
    <t>SKUEV4013</t>
  </si>
  <si>
    <t>SKUEV4019</t>
  </si>
  <si>
    <t>SKUEV4021</t>
  </si>
  <si>
    <t>SKUEV4023</t>
  </si>
  <si>
    <t>SKUEV4027</t>
  </si>
  <si>
    <t>SKUEV4029</t>
  </si>
  <si>
    <t>SKUEV4031</t>
  </si>
  <si>
    <t>SKUEV4033</t>
  </si>
  <si>
    <t>SKUEV4034</t>
  </si>
  <si>
    <t>SKUEV4035</t>
  </si>
  <si>
    <t>SKUEV4041</t>
  </si>
  <si>
    <t>SKUEV4048</t>
  </si>
  <si>
    <t>SKUEV4051</t>
  </si>
  <si>
    <t>SKUEV4052</t>
  </si>
  <si>
    <t>SKUEV4053</t>
  </si>
  <si>
    <t>SKUEV4062</t>
  </si>
  <si>
    <t>SKUEV4065</t>
  </si>
  <si>
    <t>SKUEV4067</t>
  </si>
  <si>
    <t>SKUEV4068</t>
  </si>
  <si>
    <t>SKUEV4069</t>
  </si>
  <si>
    <t>SKUEV4070</t>
  </si>
  <si>
    <t>SKUEV4072</t>
  </si>
  <si>
    <t>SKUEV4073</t>
  </si>
  <si>
    <t>SKUEV4074</t>
  </si>
  <si>
    <t>SKUEV4077</t>
  </si>
  <si>
    <t>SKUEV4078</t>
  </si>
  <si>
    <t>SKUEV4080</t>
  </si>
  <si>
    <t>SKUEV4083</t>
  </si>
  <si>
    <t>SKUEV4084</t>
  </si>
  <si>
    <t>SKUEV4087</t>
  </si>
  <si>
    <t>SKUEV4088</t>
  </si>
  <si>
    <t>SKUEV4089</t>
  </si>
  <si>
    <t>SKUEV4090</t>
  </si>
  <si>
    <t>SKUEV4092</t>
  </si>
  <si>
    <t>SKUEV4096</t>
  </si>
  <si>
    <t>SKUEV4097</t>
  </si>
  <si>
    <t>SKUEV4100</t>
  </si>
  <si>
    <t>SKUEV4101</t>
  </si>
  <si>
    <t>SKUEV4104</t>
  </si>
  <si>
    <t>SKUEV4106</t>
  </si>
  <si>
    <t>Identif. kód</t>
  </si>
  <si>
    <t>RCOP v Prešove</t>
  </si>
  <si>
    <t xml:space="preserve">Tabuľkový prehľad jednotlivých území európskeho významu (ÚEV) k 15. máju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</si>
</sst>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u/>
      <sz val="14"/>
      <color rgb="FF0563C1"/>
      <name val="Times New Roman"/>
      <family val="1"/>
      <charset val="238"/>
    </font>
    <font>
      <u/>
      <sz val="14"/>
      <color rgb="FF2F75B5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Times New Roman"/>
      <family val="1"/>
      <charset val="238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0" fontId="4" fillId="0" borderId="0"/>
    <xf numFmtId="0" fontId="20" fillId="0" borderId="0"/>
    <xf numFmtId="43" fontId="20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0" fontId="3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0" fontId="2" fillId="9" borderId="0" applyNumberFormat="0" applyBorder="0" applyAlignment="0" applyProtection="0"/>
  </cellStyleXfs>
  <cellXfs count="47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4" fillId="5" borderId="3" xfId="2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vertical="center"/>
    </xf>
    <xf numFmtId="2" fontId="10" fillId="2" borderId="2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3" xfId="6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3" xfId="6" applyNumberFormat="1" applyFont="1" applyFill="1" applyBorder="1" applyAlignment="1">
      <alignment horizontal="center" vertical="center"/>
    </xf>
    <xf numFmtId="0" fontId="1" fillId="0" borderId="0" xfId="0" applyFont="1"/>
    <xf numFmtId="0" fontId="21" fillId="5" borderId="3" xfId="2" applyFont="1" applyFill="1" applyBorder="1" applyAlignment="1">
      <alignment horizontal="center" vertical="center" wrapText="1"/>
    </xf>
    <xf numFmtId="0" fontId="22" fillId="0" borderId="3" xfId="2" applyNumberFormat="1" applyFont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</cellXfs>
  <cellStyles count="15">
    <cellStyle name="40 % - zvýraznenie1 2" xfId="10"/>
    <cellStyle name="40 % - zvýraznenie1 3" xfId="14"/>
    <cellStyle name="40 % - zvýraznenie4 2" xfId="7"/>
    <cellStyle name="40 % - zvýraznenie4 3" xfId="11"/>
    <cellStyle name="Čiarka" xfId="6" builtinId="3"/>
    <cellStyle name="Čiarka 2" xfId="9"/>
    <cellStyle name="Čiarka 3" xfId="13"/>
    <cellStyle name="Hyperlink" xfId="1"/>
    <cellStyle name="Hypertextové prepojenie" xfId="2" builtinId="8"/>
    <cellStyle name="Normálna" xfId="0" builtinId="0"/>
    <cellStyle name="Normálna 2" xfId="5"/>
    <cellStyle name="Normálna 3" xfId="4"/>
    <cellStyle name="Normálna 3 2" xfId="8"/>
    <cellStyle name="Normálna 3 3" xfId="12"/>
    <cellStyle name="Normálna_biogeograf_region" xfId="3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ta Mútňanová" id="{9D3FCBA7-9C1E-4991-909B-DF9EE668F929}" userId="S::marta.mutnanova@sopsr.sk::6dc2a940-a415-4e22-88b3-1e5ef732107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4" dT="2025-02-18T12:07:16.11" personId="{9D3FCBA7-9C1E-4991-909B-DF9EE668F929}" id="{61C0BD42-3F34-4F25-A563-C5D946774937}">
    <text>Schválený bol až v roku 2017 - 20.6.2017 - preto platnosť je až od 2017</text>
  </threadedComment>
  <threadedComment ref="H28" dT="2025-02-18T12:08:50.62" personId="{9D3FCBA7-9C1E-4991-909B-DF9EE668F929}" id="{CBDB3EC2-AE9C-4853-A491-8382F7AA4A6E}">
    <text>Bol schválený 14.11.2017 - platnosť má až od roku 2017</text>
  </threadedComment>
  <threadedComment ref="H31" dT="2025-02-18T12:09:58.71" personId="{9D3FCBA7-9C1E-4991-909B-DF9EE668F929}" id="{4519CC83-8BFD-4956-A966-F46E1DE0B903}">
    <text>Bol schválený 20.6.2017 - platnosť je až od 2017</text>
  </threadedComment>
  <threadedComment ref="H54" dT="2025-02-18T12:11:26.27" personId="{9D3FCBA7-9C1E-4991-909B-DF9EE668F929}" id="{171A9996-0A4D-4C54-87CC-8CA441EB39AB}">
    <text>Bol schválený 20.1.2017 - platný od 2017</text>
  </threadedComment>
  <threadedComment ref="H103" dT="2025-02-18T12:13:43.80" personId="{9D3FCBA7-9C1E-4991-909B-DF9EE668F929}" id="{AC44A064-B168-4867-976D-416BD0930C15}">
    <text>Takto to majú NP Slovenský raj na stránke - schvalovací nemám</text>
  </threadedComment>
  <threadedComment ref="I137" dT="2025-02-18T12:15:09.77" personId="{9D3FCBA7-9C1E-4991-909B-DF9EE668F929}" id="{170A8FE6-5609-4618-B5D9-76C9B1F0BE68}">
    <text>V schvalovacom protokole bolo 2017 - 2046 - tu je preklep v druhom roku</text>
  </threadedComment>
  <threadedComment ref="I189" dT="2025-02-18T12:16:08.22" personId="{9D3FCBA7-9C1E-4991-909B-DF9EE668F929}" id="{20615F24-BE4B-4D73-865A-6FD68A610617}">
    <text>Ten istý ako PS o NP Muránska planina</text>
  </threadedComment>
  <threadedComment ref="I190" dT="2025-02-18T12:16:16.94" personId="{9D3FCBA7-9C1E-4991-909B-DF9EE668F929}" id="{68AFABE8-7BD9-428A-A51E-9DA4A2D541E7}">
    <text>Ten istý ako PS o NP Muránska planina</text>
  </threadedComment>
  <threadedComment ref="I196" dT="2025-02-18T12:17:48.05" personId="{9D3FCBA7-9C1E-4991-909B-DF9EE668F929}" id="{FC929F44-89BC-4DF3-AB4A-0E908B34C33F}">
    <text>K tomuto uzemiu nic nemám</text>
  </threadedComment>
  <threadedComment ref="I208" dT="2025-02-18T12:18:37.22" personId="{9D3FCBA7-9C1E-4991-909B-DF9EE668F929}" id="{53BAC3A0-3BE0-4432-BABA-51F6EC19E0A6}">
    <text>Toto je o NP Muranska</text>
  </threadedComment>
  <threadedComment ref="H212" dT="2025-02-18T12:19:25.00" personId="{9D3FCBA7-9C1E-4991-909B-DF9EE668F929}" id="{5D59D7FE-F818-4D59-8FA0-EEF953235A7B}">
    <text>K tomuto nič nemám</text>
  </threadedComment>
  <threadedComment ref="H217" dT="2025-02-18T12:19:44.12" personId="{9D3FCBA7-9C1E-4991-909B-DF9EE668F929}" id="{69FE3AF1-8297-4D00-AA41-76B491A6F364}">
    <text>Je na území NP Poloniny - ten istý dátum</text>
  </threadedComment>
  <threadedComment ref="H249" dT="2025-02-18T12:02:11.49" personId="{9D3FCBA7-9C1E-4991-909B-DF9EE668F929}" id="{DCD39C3C-5F97-440B-A241-524CC7C3EA9B}">
    <text>Tento podľa mňa nemá obdobie platnoati - schvalovací protokol nemám</text>
  </threadedComment>
  <threadedComment ref="I263" dT="2025-02-18T12:20:20.40" personId="{9D3FCBA7-9C1E-4991-909B-DF9EE668F929}" id="{2282E574-CB77-4FB2-971E-DAF21C9282D6}">
    <text>Spolu s NP Muránska planina</text>
  </threadedComment>
  <threadedComment ref="I271" dT="2025-02-18T12:20:57.91" personId="{9D3FCBA7-9C1E-4991-909B-DF9EE668F929}" id="{FC864C8D-A8E9-4294-9401-6175AE36A0F0}">
    <text>Časť je súčasťou PS o NP Slovenský raj</text>
  </threadedComment>
  <threadedComment ref="I282" dT="2025-02-18T12:21:46.48" personId="{9D3FCBA7-9C1E-4991-909B-DF9EE668F929}" id="{E7C6E2FD-E3F8-4472-B497-B3AADEC9EF6A}">
    <text>Tieto datumy boli v schvalovacom protokole</text>
  </threadedComment>
  <threadedComment ref="I314" dT="2025-02-18T12:23:04.09" personId="{9D3FCBA7-9C1E-4991-909B-DF9EE668F929}" id="{1DD324DA-236E-4ED3-AEBA-2BEF30F33B65}">
    <text>Takto to bolo v schvalovacom protokole</text>
  </threadedComment>
  <threadedComment ref="I315" dT="2025-02-18T12:23:53.45" personId="{9D3FCBA7-9C1E-4991-909B-DF9EE668F929}" id="{A6DBC044-1C0D-4CAC-9446-8233228FC111}">
    <text>Takto to bolo v schvalovacom protokole</text>
  </threadedComment>
  <threadedComment ref="I316" dT="2025-02-18T12:24:55.46" personId="{9D3FCBA7-9C1E-4991-909B-DF9EE668F929}" id="{4288D429-9116-4144-8E2B-9A1B22B16D52}">
    <text>V schvalovacom protokole uvedené</text>
  </threadedComment>
  <threadedComment ref="H349" dT="2025-02-18T12:25:59.67" personId="{9D3FCBA7-9C1E-4991-909B-DF9EE668F929}" id="{95C94CB2-EEA3-443F-88E6-3235D158E320}">
    <text>K tomuto nemám nič</text>
  </threadedComment>
  <threadedComment ref="H350" dT="2025-02-18T12:26:07.64" personId="{9D3FCBA7-9C1E-4991-909B-DF9EE668F929}" id="{90C423A9-A3DD-4195-9EE3-5207790B575E}">
    <text>Nemám nič</text>
  </threadedComment>
  <threadedComment ref="H352" dT="2025-02-18T12:28:21.28" personId="{9D3FCBA7-9C1E-4991-909B-DF9EE668F929}" id="{5B84DC94-2B86-4833-A485-370481FAB192}">
    <text>Tu je oznámenie o schválení z 19.6.2018 - takže je platný od 2018 - 2046</text>
  </threadedComment>
  <threadedComment ref="H354" dT="2025-02-18T12:29:13.40" personId="{9D3FCBA7-9C1E-4991-909B-DF9EE668F929}" id="{548BBCDE-0021-4548-B4B0-1ACD51670C07}">
    <text>Nemám nič</text>
  </threadedComment>
  <threadedComment ref="H359" dT="2025-02-18T12:30:03.21" personId="{9D3FCBA7-9C1E-4991-909B-DF9EE668F929}" id="{D71010F4-BA7B-4730-A80E-E1FE59782588}">
    <text>Tu nemám nič</text>
  </threadedComment>
  <threadedComment ref="I381" dT="2025-02-18T12:30:58.07" personId="{9D3FCBA7-9C1E-4991-909B-DF9EE668F929}" id="{A12E2310-13E0-41AF-A6EE-F0E7B84ECF81}">
    <text>Je to takto v schvalovacom protokole</text>
  </threadedComment>
  <threadedComment ref="I401" dT="2025-02-18T12:32:28.26" personId="{9D3FCBA7-9C1E-4991-909B-DF9EE668F929}" id="{15838A35-FC39-433E-8635-4E7D97C03631}">
    <text xml:space="preserve">Schválený 20.11.2017 - od vtedy je platný </text>
  </threadedComment>
  <threadedComment ref="I433" dT="2025-02-18T12:32:54.38" personId="{9D3FCBA7-9C1E-4991-909B-DF9EE668F929}" id="{03FC5CA9-E21B-4C4E-BB76-BD9C6D45017B}">
    <text>Spolu s NP Muránska planina</text>
  </threadedComment>
  <threadedComment ref="I445" dT="2025-02-18T12:33:17.43" personId="{9D3FCBA7-9C1E-4991-909B-DF9EE668F929}" id="{EFCB6C8F-B935-4C6F-8923-95C76D22F71A}">
    <text>Nemám nič</text>
  </threadedComment>
  <threadedComment ref="I446" dT="2025-02-18T12:33:25.18" personId="{9D3FCBA7-9C1E-4991-909B-DF9EE668F929}" id="{383D57CE-4107-43FD-B96C-748B7A225F30}">
    <text>Nemám nič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opsr.sk/program_star/85.zip" TargetMode="External"/><Relationship Id="rId21" Type="http://schemas.openxmlformats.org/officeDocument/2006/relationships/hyperlink" Target="http://www.sopsr.sk/program_star/84.zip" TargetMode="External"/><Relationship Id="rId34" Type="http://schemas.openxmlformats.org/officeDocument/2006/relationships/hyperlink" Target="http://www.sopsr.sk/program_star/31.zip" TargetMode="External"/><Relationship Id="rId42" Type="http://schemas.openxmlformats.org/officeDocument/2006/relationships/hyperlink" Target="http://www.sopsr.sk/program_star/28.zip" TargetMode="External"/><Relationship Id="rId47" Type="http://schemas.openxmlformats.org/officeDocument/2006/relationships/hyperlink" Target="http://www.sopsr.sk/program_star/65.zip" TargetMode="External"/><Relationship Id="rId50" Type="http://schemas.openxmlformats.org/officeDocument/2006/relationships/hyperlink" Target="http://www.sopsr.sk/program_star/25.zip" TargetMode="External"/><Relationship Id="rId55" Type="http://schemas.openxmlformats.org/officeDocument/2006/relationships/hyperlink" Target="http://www.sopsr.sk/program_star/63.zip" TargetMode="External"/><Relationship Id="rId63" Type="http://schemas.openxmlformats.org/officeDocument/2006/relationships/hyperlink" Target="http://www.sopsr.sk/program_star/56.zip" TargetMode="External"/><Relationship Id="rId68" Type="http://schemas.openxmlformats.org/officeDocument/2006/relationships/hyperlink" Target="http://www.sopsr.sk/program_star/23.zip" TargetMode="External"/><Relationship Id="rId76" Type="http://schemas.openxmlformats.org/officeDocument/2006/relationships/hyperlink" Target="http://www.sopsr.sk/program_star/50.zip" TargetMode="External"/><Relationship Id="rId84" Type="http://schemas.openxmlformats.org/officeDocument/2006/relationships/hyperlink" Target="https://www.sopsr.sk/program_star/102.zip" TargetMode="External"/><Relationship Id="rId89" Type="http://schemas.openxmlformats.org/officeDocument/2006/relationships/hyperlink" Target="https://www.sopsr.sk/program_star/102.zip" TargetMode="External"/><Relationship Id="rId97" Type="http://schemas.openxmlformats.org/officeDocument/2006/relationships/hyperlink" Target="https://www.sopsr.sk/program_star/117.zip" TargetMode="External"/><Relationship Id="rId7" Type="http://schemas.openxmlformats.org/officeDocument/2006/relationships/hyperlink" Target="http://www.sopsr.sk/program_star/97.zip" TargetMode="External"/><Relationship Id="rId71" Type="http://schemas.openxmlformats.org/officeDocument/2006/relationships/hyperlink" Target="http://www.sopsr.sk/program_star/24.zip" TargetMode="External"/><Relationship Id="rId92" Type="http://schemas.openxmlformats.org/officeDocument/2006/relationships/hyperlink" Target="https://www.sopsr.sk/program_star/102.zip" TargetMode="External"/><Relationship Id="rId2" Type="http://schemas.openxmlformats.org/officeDocument/2006/relationships/hyperlink" Target="http://www.sopsr.sk/program_star/37.zip" TargetMode="External"/><Relationship Id="rId16" Type="http://schemas.openxmlformats.org/officeDocument/2006/relationships/hyperlink" Target="http://www.sopsr.sk/program_star/75.zip" TargetMode="External"/><Relationship Id="rId29" Type="http://schemas.openxmlformats.org/officeDocument/2006/relationships/hyperlink" Target="http://www.sopsr.sk/program_star/86.zip" TargetMode="External"/><Relationship Id="rId11" Type="http://schemas.openxmlformats.org/officeDocument/2006/relationships/hyperlink" Target="http://www.sopsr.sk/program_star/66.zip" TargetMode="External"/><Relationship Id="rId24" Type="http://schemas.openxmlformats.org/officeDocument/2006/relationships/hyperlink" Target="http://www.sopsr.sk/program_star/81.zip" TargetMode="External"/><Relationship Id="rId32" Type="http://schemas.openxmlformats.org/officeDocument/2006/relationships/hyperlink" Target="http://www.sopsr.sk/program_star/80.zip" TargetMode="External"/><Relationship Id="rId37" Type="http://schemas.openxmlformats.org/officeDocument/2006/relationships/hyperlink" Target="http://www.sopsr.sk/program_star/29.zip" TargetMode="External"/><Relationship Id="rId40" Type="http://schemas.openxmlformats.org/officeDocument/2006/relationships/hyperlink" Target="http://www.sopsr.sk/program_star/64.zip" TargetMode="External"/><Relationship Id="rId45" Type="http://schemas.openxmlformats.org/officeDocument/2006/relationships/hyperlink" Target="http://www.sopsr.sk/program_star/69.zip" TargetMode="External"/><Relationship Id="rId53" Type="http://schemas.openxmlformats.org/officeDocument/2006/relationships/hyperlink" Target="http://www.sopsr.sk/program_star/88.zip" TargetMode="External"/><Relationship Id="rId58" Type="http://schemas.openxmlformats.org/officeDocument/2006/relationships/hyperlink" Target="http://www.sopsr.sk/program_star/76.zip" TargetMode="External"/><Relationship Id="rId66" Type="http://schemas.openxmlformats.org/officeDocument/2006/relationships/hyperlink" Target="http://www.sopsr.sk/program_star/58.zip" TargetMode="External"/><Relationship Id="rId74" Type="http://schemas.openxmlformats.org/officeDocument/2006/relationships/hyperlink" Target="http://www.sopsr.sk/program_star/53.zip" TargetMode="External"/><Relationship Id="rId79" Type="http://schemas.openxmlformats.org/officeDocument/2006/relationships/hyperlink" Target="http://www.sopsr.sk/program_star/26.zip" TargetMode="External"/><Relationship Id="rId87" Type="http://schemas.openxmlformats.org/officeDocument/2006/relationships/hyperlink" Target="https://www.sopsr.sk/program_star/102.zip" TargetMode="External"/><Relationship Id="rId5" Type="http://schemas.openxmlformats.org/officeDocument/2006/relationships/hyperlink" Target="https://www.sopsr.sk/program_star/100.zip" TargetMode="External"/><Relationship Id="rId61" Type="http://schemas.openxmlformats.org/officeDocument/2006/relationships/hyperlink" Target="https://www.sopsr.sk/psprmalejazera/" TargetMode="External"/><Relationship Id="rId82" Type="http://schemas.openxmlformats.org/officeDocument/2006/relationships/hyperlink" Target="https://www.sopsr.sk/program_star/102.zip" TargetMode="External"/><Relationship Id="rId90" Type="http://schemas.openxmlformats.org/officeDocument/2006/relationships/hyperlink" Target="https://www.sopsr.sk/program_star/102.zip" TargetMode="External"/><Relationship Id="rId95" Type="http://schemas.openxmlformats.org/officeDocument/2006/relationships/hyperlink" Target="https://www.sopsr.sk/program_star/102.zip" TargetMode="External"/><Relationship Id="rId19" Type="http://schemas.openxmlformats.org/officeDocument/2006/relationships/hyperlink" Target="http://www.sopsr.sk/program_star/77.zip" TargetMode="External"/><Relationship Id="rId14" Type="http://schemas.openxmlformats.org/officeDocument/2006/relationships/hyperlink" Target="http://www.sopsr.sk/program_star/35.zip" TargetMode="External"/><Relationship Id="rId22" Type="http://schemas.openxmlformats.org/officeDocument/2006/relationships/hyperlink" Target="http://www.sopsr.sk/program_star/47.zip" TargetMode="External"/><Relationship Id="rId27" Type="http://schemas.openxmlformats.org/officeDocument/2006/relationships/hyperlink" Target="http://www.sopsr.sk/program_star/39.zip" TargetMode="External"/><Relationship Id="rId30" Type="http://schemas.openxmlformats.org/officeDocument/2006/relationships/hyperlink" Target="http://www.sopsr.sk/program_star/72.zip" TargetMode="External"/><Relationship Id="rId35" Type="http://schemas.openxmlformats.org/officeDocument/2006/relationships/hyperlink" Target="https://www.sopsr.sk/program_star/98.zip" TargetMode="External"/><Relationship Id="rId43" Type="http://schemas.openxmlformats.org/officeDocument/2006/relationships/hyperlink" Target="http://www.sopsr.sk/program_star/28.zip" TargetMode="External"/><Relationship Id="rId48" Type="http://schemas.openxmlformats.org/officeDocument/2006/relationships/hyperlink" Target="http://www.sopsr.sk/program_star/48.zip" TargetMode="External"/><Relationship Id="rId56" Type="http://schemas.openxmlformats.org/officeDocument/2006/relationships/hyperlink" Target="http://www.sopsr.sk/program_star/26.zip" TargetMode="External"/><Relationship Id="rId64" Type="http://schemas.openxmlformats.org/officeDocument/2006/relationships/hyperlink" Target="http://www.sopsr.sk/program_star/45.zip" TargetMode="External"/><Relationship Id="rId69" Type="http://schemas.openxmlformats.org/officeDocument/2006/relationships/hyperlink" Target="http://www.sopsr.sk/program_star/70.zip" TargetMode="External"/><Relationship Id="rId77" Type="http://schemas.openxmlformats.org/officeDocument/2006/relationships/hyperlink" Target="http://www.sopsr.sk/program_star/57.zip" TargetMode="External"/><Relationship Id="rId8" Type="http://schemas.openxmlformats.org/officeDocument/2006/relationships/hyperlink" Target="http://www.sopsr.sk/program_star/51.zip" TargetMode="External"/><Relationship Id="rId51" Type="http://schemas.openxmlformats.org/officeDocument/2006/relationships/hyperlink" Target="http://www.sopsr.sk/program_star/89.zip" TargetMode="External"/><Relationship Id="rId72" Type="http://schemas.openxmlformats.org/officeDocument/2006/relationships/hyperlink" Target="http://www.sopsr.sk/program_star/60.zip" TargetMode="External"/><Relationship Id="rId80" Type="http://schemas.openxmlformats.org/officeDocument/2006/relationships/hyperlink" Target="https://www.sopsr.sk/program_star/71.zip" TargetMode="External"/><Relationship Id="rId85" Type="http://schemas.openxmlformats.org/officeDocument/2006/relationships/hyperlink" Target="https://www.sopsr.sk/program_star/102.zip" TargetMode="External"/><Relationship Id="rId93" Type="http://schemas.openxmlformats.org/officeDocument/2006/relationships/hyperlink" Target="https://www.sopsr.sk/program_star/102.zip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s://www.sopsr.sk/program_star/41.zip" TargetMode="External"/><Relationship Id="rId12" Type="http://schemas.openxmlformats.org/officeDocument/2006/relationships/hyperlink" Target="http://www.sopsr.sk/program_star/52.zip" TargetMode="External"/><Relationship Id="rId17" Type="http://schemas.openxmlformats.org/officeDocument/2006/relationships/hyperlink" Target="http://www.sopsr.sk/program_star/87.zip" TargetMode="External"/><Relationship Id="rId25" Type="http://schemas.openxmlformats.org/officeDocument/2006/relationships/hyperlink" Target="http://www.sopsr.sk/program_star/38.zip" TargetMode="External"/><Relationship Id="rId33" Type="http://schemas.openxmlformats.org/officeDocument/2006/relationships/hyperlink" Target="http://www.sopsr.sk/program_star/79.zip" TargetMode="External"/><Relationship Id="rId38" Type="http://schemas.openxmlformats.org/officeDocument/2006/relationships/hyperlink" Target="http://www.sopsr.sk/program_star/30.zip" TargetMode="External"/><Relationship Id="rId46" Type="http://schemas.openxmlformats.org/officeDocument/2006/relationships/hyperlink" Target="http://www.sopsr.sk/program_star/49.zip" TargetMode="External"/><Relationship Id="rId59" Type="http://schemas.openxmlformats.org/officeDocument/2006/relationships/hyperlink" Target="http://www.sopsr.sk/program_star/68.zip" TargetMode="External"/><Relationship Id="rId67" Type="http://schemas.openxmlformats.org/officeDocument/2006/relationships/hyperlink" Target="https://www.sopsr.sk/ppbrezovskadolina/" TargetMode="External"/><Relationship Id="rId20" Type="http://schemas.openxmlformats.org/officeDocument/2006/relationships/hyperlink" Target="http://www.sopsr.sk/program_star/55.zip" TargetMode="External"/><Relationship Id="rId41" Type="http://schemas.openxmlformats.org/officeDocument/2006/relationships/hyperlink" Target="http://www.sopsr.sk/program_star/28.zip" TargetMode="External"/><Relationship Id="rId54" Type="http://schemas.openxmlformats.org/officeDocument/2006/relationships/hyperlink" Target="https://www.sopsr.sk/program_star/96.zip" TargetMode="External"/><Relationship Id="rId62" Type="http://schemas.openxmlformats.org/officeDocument/2006/relationships/hyperlink" Target="http://www.sopsr.sk/program_star/44.zip" TargetMode="External"/><Relationship Id="rId70" Type="http://schemas.openxmlformats.org/officeDocument/2006/relationships/hyperlink" Target="https://www.sopsr.sk/program_star/99.zip" TargetMode="External"/><Relationship Id="rId75" Type="http://schemas.openxmlformats.org/officeDocument/2006/relationships/hyperlink" Target="http://www.sopsr.sk/program_star/59.zip" TargetMode="External"/><Relationship Id="rId83" Type="http://schemas.openxmlformats.org/officeDocument/2006/relationships/hyperlink" Target="https://www.sopsr.sk/program_star/102.zip" TargetMode="External"/><Relationship Id="rId88" Type="http://schemas.openxmlformats.org/officeDocument/2006/relationships/hyperlink" Target="https://www.sopsr.sk/program_star/102.zip" TargetMode="External"/><Relationship Id="rId91" Type="http://schemas.openxmlformats.org/officeDocument/2006/relationships/hyperlink" Target="https://www.sopsr.sk/program_star/102.zip" TargetMode="External"/><Relationship Id="rId96" Type="http://schemas.openxmlformats.org/officeDocument/2006/relationships/hyperlink" Target="https://www.sopsr.sk/program_star/117.zip" TargetMode="External"/><Relationship Id="rId1" Type="http://schemas.openxmlformats.org/officeDocument/2006/relationships/hyperlink" Target="http://www.sopsr.sk/program_star/46.zip" TargetMode="External"/><Relationship Id="rId6" Type="http://schemas.openxmlformats.org/officeDocument/2006/relationships/hyperlink" Target="http://www.sopsr.sk/program_star/94.zip" TargetMode="External"/><Relationship Id="rId15" Type="http://schemas.openxmlformats.org/officeDocument/2006/relationships/hyperlink" Target="http://www.sopsr.sk/program_star/74.zip" TargetMode="External"/><Relationship Id="rId23" Type="http://schemas.openxmlformats.org/officeDocument/2006/relationships/hyperlink" Target="http://www.sopsr.sk/program_star/82.zip" TargetMode="External"/><Relationship Id="rId28" Type="http://schemas.openxmlformats.org/officeDocument/2006/relationships/hyperlink" Target="http://www.sopsr.sk/program_star/34.zip" TargetMode="External"/><Relationship Id="rId36" Type="http://schemas.openxmlformats.org/officeDocument/2006/relationships/hyperlink" Target="http://www.sopsr.sk/program_star/95.zip" TargetMode="External"/><Relationship Id="rId49" Type="http://schemas.openxmlformats.org/officeDocument/2006/relationships/hyperlink" Target="http://www.sopsr.sk/program_star/78.zip" TargetMode="External"/><Relationship Id="rId57" Type="http://schemas.openxmlformats.org/officeDocument/2006/relationships/hyperlink" Target="http://www.sopsr.sk/program_star/32.zip" TargetMode="External"/><Relationship Id="rId10" Type="http://schemas.openxmlformats.org/officeDocument/2006/relationships/hyperlink" Target="http://www.sopsr.sk/program_star/67.zip" TargetMode="External"/><Relationship Id="rId31" Type="http://schemas.openxmlformats.org/officeDocument/2006/relationships/hyperlink" Target="http://www.sopsr.sk/program_star/26.zip" TargetMode="External"/><Relationship Id="rId44" Type="http://schemas.openxmlformats.org/officeDocument/2006/relationships/hyperlink" Target="http://www.sopsr.sk/program_star/61.zip" TargetMode="External"/><Relationship Id="rId52" Type="http://schemas.openxmlformats.org/officeDocument/2006/relationships/hyperlink" Target="http://www.sopsr.sk/program_star/54.zip" TargetMode="External"/><Relationship Id="rId60" Type="http://schemas.openxmlformats.org/officeDocument/2006/relationships/hyperlink" Target="https://www.sopsr.sk/psprvelkejazero/" TargetMode="External"/><Relationship Id="rId65" Type="http://schemas.openxmlformats.org/officeDocument/2006/relationships/hyperlink" Target="http://www.sopsr.sk/program_star/62.zip" TargetMode="External"/><Relationship Id="rId73" Type="http://schemas.openxmlformats.org/officeDocument/2006/relationships/hyperlink" Target="http://www.sopsr.sk/program_star/43.zip" TargetMode="External"/><Relationship Id="rId78" Type="http://schemas.openxmlformats.org/officeDocument/2006/relationships/hyperlink" Target="http://www.sopsr.sk/program_star/26.zip" TargetMode="External"/><Relationship Id="rId81" Type="http://schemas.openxmlformats.org/officeDocument/2006/relationships/hyperlink" Target="https://www.sopsr.sk/program_star/102.zip" TargetMode="External"/><Relationship Id="rId86" Type="http://schemas.openxmlformats.org/officeDocument/2006/relationships/hyperlink" Target="https://www.sopsr.sk/program_star/102.zip" TargetMode="External"/><Relationship Id="rId94" Type="http://schemas.openxmlformats.org/officeDocument/2006/relationships/hyperlink" Target="https://www.sopsr.sk/program_star/102.zip" TargetMode="External"/><Relationship Id="rId4" Type="http://schemas.openxmlformats.org/officeDocument/2006/relationships/hyperlink" Target="http://www.sopsr.sk/program_star/40.zip" TargetMode="External"/><Relationship Id="rId9" Type="http://schemas.openxmlformats.org/officeDocument/2006/relationships/hyperlink" Target="http://www.sopsr.sk/program_star/42.zip" TargetMode="External"/><Relationship Id="rId2129" Type="http://schemas.microsoft.com/office/2017/10/relationships/threadedComment" Target="../threadedComments/threadedComment1.xml"/><Relationship Id="rId13" Type="http://schemas.openxmlformats.org/officeDocument/2006/relationships/hyperlink" Target="http://www.sopsr.sk/program_star/36.zip" TargetMode="External"/><Relationship Id="rId18" Type="http://schemas.openxmlformats.org/officeDocument/2006/relationships/hyperlink" Target="http://www.sopsr.sk/program_star/83.zip" TargetMode="External"/><Relationship Id="rId39" Type="http://schemas.openxmlformats.org/officeDocument/2006/relationships/hyperlink" Target="http://www.sopsr.sk/program_star/3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8"/>
  <sheetViews>
    <sheetView tabSelected="1" zoomScale="69" zoomScaleNormal="69" workbookViewId="0">
      <pane xSplit="3" ySplit="2" topLeftCell="D306" activePane="bottomRight" state="frozen"/>
      <selection pane="topRight" activeCell="D1" sqref="D1"/>
      <selection pane="bottomLeft" activeCell="A3" sqref="A3"/>
      <selection pane="bottomRight" activeCell="G96" sqref="G96"/>
    </sheetView>
  </sheetViews>
  <sheetFormatPr defaultColWidth="9.140625" defaultRowHeight="18.75" x14ac:dyDescent="0.25"/>
  <cols>
    <col min="1" max="1" width="18.85546875" style="3" bestFit="1" customWidth="1"/>
    <col min="2" max="2" width="18.5703125" style="28" customWidth="1"/>
    <col min="3" max="3" width="59.140625" style="3" customWidth="1"/>
    <col min="4" max="4" width="20.5703125" style="32" customWidth="1"/>
    <col min="5" max="5" width="18.28515625" style="3" bestFit="1" customWidth="1"/>
    <col min="6" max="6" width="16.28515625" style="3" bestFit="1" customWidth="1"/>
    <col min="7" max="7" width="27.85546875" style="3" customWidth="1"/>
    <col min="8" max="8" width="21.85546875" style="3" bestFit="1" customWidth="1"/>
    <col min="9" max="9" width="32.5703125" style="3" customWidth="1"/>
    <col min="10" max="10" width="34.140625" style="29" customWidth="1"/>
    <col min="11" max="11" width="16.28515625" style="3" bestFit="1" customWidth="1"/>
    <col min="12" max="12" width="18.28515625" style="3" bestFit="1" customWidth="1"/>
    <col min="13" max="16384" width="9.140625" style="3"/>
  </cols>
  <sheetData>
    <row r="1" spans="1:11" ht="49.5" customHeight="1" thickBot="1" x14ac:dyDescent="0.35">
      <c r="A1" s="34"/>
      <c r="B1" s="34" t="s">
        <v>1402</v>
      </c>
      <c r="C1" s="34"/>
      <c r="D1" s="30"/>
      <c r="E1" s="35"/>
      <c r="F1" s="35"/>
      <c r="G1" s="35"/>
      <c r="H1" s="1"/>
      <c r="I1" s="1"/>
      <c r="J1" s="1"/>
      <c r="K1" s="2"/>
    </row>
    <row r="2" spans="1:11" ht="93.75" x14ac:dyDescent="0.25">
      <c r="A2" s="4" t="s">
        <v>0</v>
      </c>
      <c r="B2" s="5" t="s">
        <v>1400</v>
      </c>
      <c r="C2" s="4" t="s">
        <v>1334</v>
      </c>
      <c r="D2" s="31" t="s">
        <v>1335</v>
      </c>
      <c r="E2" s="4" t="s">
        <v>1</v>
      </c>
      <c r="F2" s="4" t="s">
        <v>2</v>
      </c>
      <c r="G2" s="4" t="s">
        <v>7</v>
      </c>
      <c r="H2" s="4" t="s">
        <v>3</v>
      </c>
      <c r="I2" s="4" t="s">
        <v>4</v>
      </c>
      <c r="J2" s="4" t="s">
        <v>5</v>
      </c>
      <c r="K2" s="4" t="s">
        <v>6</v>
      </c>
    </row>
    <row r="3" spans="1:11" x14ac:dyDescent="0.25">
      <c r="A3" s="6" t="s">
        <v>8</v>
      </c>
      <c r="B3" s="36" t="s">
        <v>9</v>
      </c>
      <c r="C3" s="7" t="str">
        <f>HYPERLINK("https://data.sopsr.sk/chranene-objekty/chranene-uzemia/detail/SKUEV0001","Tri peniažky")</f>
        <v>Tri peniažky</v>
      </c>
      <c r="D3" s="33">
        <v>156.6876</v>
      </c>
      <c r="E3" s="44" t="str">
        <f>HYPERLINK("https://natura2000.sopsr.sk/lokality/uev/lokality-uev/?uev=SKUEV0001","Odkaz")</f>
        <v>Odkaz</v>
      </c>
      <c r="F3" s="44" t="str">
        <f>HYPERLINK("https://natura2000.sopsr.sk/wp-content/uploads/natura/legislativa/uev/ciele/SKUEV0001.docx","Spracované")</f>
        <v>Spracované</v>
      </c>
      <c r="G3" s="10" t="s">
        <v>10</v>
      </c>
      <c r="H3" s="9" t="s">
        <v>11</v>
      </c>
      <c r="I3" s="9" t="s">
        <v>12</v>
      </c>
      <c r="J3" s="10" t="s">
        <v>13</v>
      </c>
      <c r="K3" s="38">
        <v>0</v>
      </c>
    </row>
    <row r="4" spans="1:11" x14ac:dyDescent="0.25">
      <c r="A4" s="11" t="s">
        <v>14</v>
      </c>
      <c r="B4" s="36" t="s">
        <v>15</v>
      </c>
      <c r="C4" s="7" t="str">
        <f>HYPERLINK("https://data.sopsr.sk/chranene-objekty/chranene-uzemia/detail/SKUEV0002","Lúky pod Ukorovou")</f>
        <v>Lúky pod Ukorovou</v>
      </c>
      <c r="D4" s="33">
        <v>11.911300000000001</v>
      </c>
      <c r="E4" s="44" t="str">
        <f>HYPERLINK("https://natura2000.sopsr.sk/lokality/uev/lokality-uev/?uev=SKUEV0002","Odkaz")</f>
        <v>Odkaz</v>
      </c>
      <c r="F4" s="44" t="str">
        <f>HYPERLINK("https://natura2000.sopsr.sk/wp-content/uploads/natura/legislativa/uev/ciele/SKUEV0002.docx","Spracované")</f>
        <v>Spracované</v>
      </c>
      <c r="G4" s="10" t="s">
        <v>10</v>
      </c>
      <c r="H4" s="9" t="s">
        <v>11</v>
      </c>
      <c r="I4" s="9" t="s">
        <v>12</v>
      </c>
      <c r="J4" s="10" t="s">
        <v>13</v>
      </c>
      <c r="K4" s="38">
        <v>100</v>
      </c>
    </row>
    <row r="5" spans="1:11" ht="23.25" customHeight="1" x14ac:dyDescent="0.25">
      <c r="A5" s="11" t="s">
        <v>16</v>
      </c>
      <c r="B5" s="36" t="s">
        <v>17</v>
      </c>
      <c r="C5" s="7" t="str">
        <f>HYPERLINK("https://data.sopsr.sk/chranene-objekty/chranene-uzemia/detail/SKUEV0003","Rimava")</f>
        <v>Rimava</v>
      </c>
      <c r="D5" s="33">
        <v>4.0553999999999997</v>
      </c>
      <c r="E5" s="44" t="str">
        <f>HYPERLINK("https://natura2000.sopsr.sk/lokality/uev/lokality-uev/?uev=SKUEV0003","Odkaz")</f>
        <v>Odkaz</v>
      </c>
      <c r="F5" s="44" t="str">
        <f>HYPERLINK("https://natura2000.sopsr.sk/wp-content/uploads/natura/legislativa/uev/ciele/SKUEV0003.docx","Spracované")</f>
        <v>Spracované</v>
      </c>
      <c r="G5" s="10" t="s">
        <v>10</v>
      </c>
      <c r="H5" s="9" t="s">
        <v>11</v>
      </c>
      <c r="I5" s="9" t="s">
        <v>12</v>
      </c>
      <c r="J5" s="10" t="s">
        <v>13</v>
      </c>
      <c r="K5" s="38">
        <v>100</v>
      </c>
    </row>
    <row r="6" spans="1:11" x14ac:dyDescent="0.25">
      <c r="A6" s="11" t="s">
        <v>18</v>
      </c>
      <c r="B6" s="36" t="s">
        <v>19</v>
      </c>
      <c r="C6" s="7" t="str">
        <f>HYPERLINK("https://data.sopsr.sk/chranene-objekty/chranene-uzemia/detail/SKUEV0004","Kopčianske slanisko")</f>
        <v>Kopčianske slanisko</v>
      </c>
      <c r="D6" s="33">
        <v>8.7035</v>
      </c>
      <c r="E6" s="44" t="str">
        <f>HYPERLINK("https://natura2000.sopsr.sk/lokality/uev/lokality-uev/?uev=SKUEV0004","Odkaz")</f>
        <v>Odkaz</v>
      </c>
      <c r="F6" s="44" t="str">
        <f>HYPERLINK("https://natura2000.sopsr.sk/wp-content/uploads/natura/legislativa/uev/ciele/SKUEV0004.docx","Spracované")</f>
        <v>Spracované</v>
      </c>
      <c r="G6" s="8" t="s">
        <v>23</v>
      </c>
      <c r="H6" s="10" t="s">
        <v>20</v>
      </c>
      <c r="I6" s="10" t="s">
        <v>21</v>
      </c>
      <c r="J6" s="10" t="s">
        <v>444</v>
      </c>
      <c r="K6" s="38">
        <v>100</v>
      </c>
    </row>
    <row r="7" spans="1:11" x14ac:dyDescent="0.25">
      <c r="A7" s="11" t="s">
        <v>24</v>
      </c>
      <c r="B7" s="36" t="s">
        <v>25</v>
      </c>
      <c r="C7" s="7" t="str">
        <f>HYPERLINK("https://data.sopsr.sk/chranene-objekty/chranene-uzemia/detail/SKUEV0005","Drieňová")</f>
        <v>Drieňová</v>
      </c>
      <c r="D7" s="33">
        <v>30.127199999999998</v>
      </c>
      <c r="E7" s="44" t="str">
        <f>HYPERLINK("https://natura2000.sopsr.sk/lokality/uev/lokality-uev/?uev=SKUEV0005","Odkaz")</f>
        <v>Odkaz</v>
      </c>
      <c r="F7" s="44" t="str">
        <f>HYPERLINK("https://natura2000.sopsr.sk/wp-content/uploads/natura/legislativa/uev/ciele/SKUEV0005.docx","Spracované")</f>
        <v>Spracované</v>
      </c>
      <c r="G7" s="10" t="s">
        <v>10</v>
      </c>
      <c r="H7" s="9" t="s">
        <v>11</v>
      </c>
      <c r="I7" s="9" t="s">
        <v>26</v>
      </c>
      <c r="J7" s="10" t="s">
        <v>27</v>
      </c>
      <c r="K7" s="38">
        <v>0</v>
      </c>
    </row>
    <row r="8" spans="1:11" ht="23.25" customHeight="1" x14ac:dyDescent="0.25">
      <c r="A8" s="11" t="s">
        <v>28</v>
      </c>
      <c r="B8" s="36" t="s">
        <v>29</v>
      </c>
      <c r="C8" s="7" t="str">
        <f>HYPERLINK("https://data.sopsr.sk/chranene-objekty/chranene-uzemia/detail/SKUEV0006","Latorica")</f>
        <v>Latorica</v>
      </c>
      <c r="D8" s="33">
        <v>7588.3434999999999</v>
      </c>
      <c r="E8" s="44" t="str">
        <f>HYPERLINK("https://natura2000.sopsr.sk/lokality/uev/lokality-uev/?uev=SKUEV0006","Odkaz")</f>
        <v>Odkaz</v>
      </c>
      <c r="F8" s="44" t="str">
        <f>HYPERLINK("https://natura2000.sopsr.sk/wp-content/uploads/natura/legislativa/uev/ciele/SKUEV0006.docx","Spracované")</f>
        <v>Spracované</v>
      </c>
      <c r="G8" s="10" t="s">
        <v>10</v>
      </c>
      <c r="H8" s="10" t="s">
        <v>20</v>
      </c>
      <c r="I8" s="10" t="s">
        <v>21</v>
      </c>
      <c r="J8" s="10" t="s">
        <v>22</v>
      </c>
      <c r="K8" s="38">
        <v>100</v>
      </c>
    </row>
    <row r="9" spans="1:11" x14ac:dyDescent="0.25">
      <c r="A9" s="11" t="s">
        <v>30</v>
      </c>
      <c r="B9" s="36" t="s">
        <v>31</v>
      </c>
      <c r="C9" s="7" t="str">
        <f>HYPERLINK("https://data.sopsr.sk/chranene-objekty/chranene-uzemia/detail/SKUEV0007","Čičarovský les")</f>
        <v>Čičarovský les</v>
      </c>
      <c r="D9" s="33">
        <v>98.277199999999993</v>
      </c>
      <c r="E9" s="44" t="str">
        <f>HYPERLINK("https://natura2000.sopsr.sk/lokality/uev/lokality-uev/?uev=SKUEV0007","Odkaz")</f>
        <v>Odkaz</v>
      </c>
      <c r="F9" s="44" t="str">
        <f>HYPERLINK("https://natura2000.sopsr.sk/wp-content/uploads/natura/legislativa/uev/ciele/SKUEV0007.docx","Spracované")</f>
        <v>Spracované</v>
      </c>
      <c r="G9" s="10" t="s">
        <v>10</v>
      </c>
      <c r="H9" s="10" t="s">
        <v>20</v>
      </c>
      <c r="I9" s="10" t="s">
        <v>21</v>
      </c>
      <c r="J9" s="10" t="s">
        <v>22</v>
      </c>
      <c r="K9" s="38">
        <v>100</v>
      </c>
    </row>
    <row r="10" spans="1:11" x14ac:dyDescent="0.25">
      <c r="A10" s="11" t="s">
        <v>32</v>
      </c>
      <c r="B10" s="36" t="s">
        <v>33</v>
      </c>
      <c r="C10" s="7" t="str">
        <f>HYPERLINK("https://data.sopsr.sk/chranene-objekty/chranene-uzemia/detail/SKUEV0008","Repiská")</f>
        <v>Repiská</v>
      </c>
      <c r="D10" s="33">
        <v>61.6678</v>
      </c>
      <c r="E10" s="44" t="str">
        <f>HYPERLINK("https://natura2000.sopsr.sk/lokality/uev/lokality-uev/?uev=SKUEV0008","Odkaz")</f>
        <v>Odkaz</v>
      </c>
      <c r="F10" s="44" t="str">
        <f>HYPERLINK("https://natura2000.sopsr.sk/wp-content/uploads/natura/legislativa/uev/ciele/SKUEV0008.docx","Spracované")</f>
        <v>Spracované</v>
      </c>
      <c r="G10" s="10" t="s">
        <v>10</v>
      </c>
      <c r="H10" s="9" t="s">
        <v>11</v>
      </c>
      <c r="I10" s="9" t="s">
        <v>12</v>
      </c>
      <c r="J10" s="10" t="s">
        <v>34</v>
      </c>
      <c r="K10" s="38">
        <v>100</v>
      </c>
    </row>
    <row r="11" spans="1:11" x14ac:dyDescent="0.25">
      <c r="A11" s="11" t="s">
        <v>35</v>
      </c>
      <c r="B11" s="36" t="s">
        <v>36</v>
      </c>
      <c r="C11" s="7" t="str">
        <f>HYPERLINK("https://data.sopsr.sk/chranene-objekty/chranene-uzemia/detail/SKUEV0009","Koryto")</f>
        <v>Koryto</v>
      </c>
      <c r="D11" s="33">
        <v>25.317399999999999</v>
      </c>
      <c r="E11" s="44" t="str">
        <f>HYPERLINK("https://natura2000.sopsr.sk/lokality/uev/lokality-uev/?uev=SKUEV0009","Odkaz")</f>
        <v>Odkaz</v>
      </c>
      <c r="F11" s="44" t="str">
        <f>HYPERLINK("https://natura2000.sopsr.sk/wp-content/uploads/natura/legislativa/uev/ciele/SKUEV0009.docx","Spracované")</f>
        <v>Spracované</v>
      </c>
      <c r="G11" s="10" t="s">
        <v>10</v>
      </c>
      <c r="H11" s="9" t="s">
        <v>11</v>
      </c>
      <c r="I11" s="9" t="s">
        <v>12</v>
      </c>
      <c r="J11" s="10" t="s">
        <v>34</v>
      </c>
      <c r="K11" s="38">
        <v>100</v>
      </c>
    </row>
    <row r="12" spans="1:11" x14ac:dyDescent="0.25">
      <c r="A12" s="11" t="s">
        <v>37</v>
      </c>
      <c r="B12" s="36" t="s">
        <v>38</v>
      </c>
      <c r="C12" s="7" t="str">
        <f>HYPERLINK("https://data.sopsr.sk/chranene-objekty/chranene-uzemia/detail/SKUEV0010","Komárňanské slanisko")</f>
        <v>Komárňanské slanisko</v>
      </c>
      <c r="D12" s="33">
        <v>14.777900000000001</v>
      </c>
      <c r="E12" s="44" t="str">
        <f>HYPERLINK("https://natura2000.sopsr.sk/lokality/uev/lokality-uev/?uev=SKUEV0010","Odkaz")</f>
        <v>Odkaz</v>
      </c>
      <c r="F12" s="44" t="str">
        <f>HYPERLINK("https://natura2000.sopsr.sk/wp-content/uploads/natura/legislativa/uev/ciele/SKUEV0010.docx","Spracované")</f>
        <v>Spracované</v>
      </c>
      <c r="G12" s="8" t="s">
        <v>23</v>
      </c>
      <c r="H12" s="10" t="s">
        <v>20</v>
      </c>
      <c r="I12" s="9" t="s">
        <v>39</v>
      </c>
      <c r="J12" s="10" t="s">
        <v>40</v>
      </c>
      <c r="K12" s="38">
        <v>100</v>
      </c>
    </row>
    <row r="13" spans="1:11" x14ac:dyDescent="0.25">
      <c r="A13" s="11" t="s">
        <v>41</v>
      </c>
      <c r="B13" s="36" t="s">
        <v>42</v>
      </c>
      <c r="C13" s="7" t="str">
        <f>HYPERLINK("https://data.sopsr.sk/chranene-objekty/chranene-uzemia/detail/SKUEV0011","Svetlica")</f>
        <v>Svetlica</v>
      </c>
      <c r="D13" s="33">
        <v>1.9403999999999999</v>
      </c>
      <c r="E13" s="44" t="str">
        <f>HYPERLINK("https://natura2000.sopsr.sk/lokality/uev/lokality-uev/?uev=SKUEV0011","Odkaz")</f>
        <v>Odkaz</v>
      </c>
      <c r="F13" s="44" t="str">
        <f>HYPERLINK("https://natura2000.sopsr.sk/wp-content/uploads/natura/legislativa/uev/ciele/SKUEV0011.docx","Spracované")</f>
        <v>Spracované</v>
      </c>
      <c r="G13" s="10" t="s">
        <v>10</v>
      </c>
      <c r="H13" s="9" t="s">
        <v>11</v>
      </c>
      <c r="I13" s="9" t="s">
        <v>26</v>
      </c>
      <c r="J13" s="10" t="s">
        <v>27</v>
      </c>
      <c r="K13" s="38">
        <v>100</v>
      </c>
    </row>
    <row r="14" spans="1:11" x14ac:dyDescent="0.25">
      <c r="A14" s="11" t="s">
        <v>43</v>
      </c>
      <c r="B14" s="36" t="s">
        <v>44</v>
      </c>
      <c r="C14" s="7" t="str">
        <f>HYPERLINK("https://data.sopsr.sk/chranene-objekty/chranene-uzemia/detail/SKUEV0012","Bešiansky polder")</f>
        <v>Bešiansky polder</v>
      </c>
      <c r="D14" s="33">
        <v>2.7353000000000001</v>
      </c>
      <c r="E14" s="44" t="str">
        <f>HYPERLINK("https://natura2000.sopsr.sk/lokality/uev/lokality-uev/?uev=SKUEV0012","Odkaz")</f>
        <v>Odkaz</v>
      </c>
      <c r="F14" s="44" t="str">
        <f>HYPERLINK("https://natura2000.sopsr.sk/wp-content/uploads/natura/legislativa/uev/ciele/SKUEV0012.docx","Spracované")</f>
        <v>Spracované</v>
      </c>
      <c r="G14" s="8" t="s">
        <v>23</v>
      </c>
      <c r="H14" s="10" t="s">
        <v>20</v>
      </c>
      <c r="I14" s="10" t="s">
        <v>21</v>
      </c>
      <c r="J14" s="10" t="s">
        <v>22</v>
      </c>
      <c r="K14" s="38">
        <v>100</v>
      </c>
    </row>
    <row r="15" spans="1:11" x14ac:dyDescent="0.25">
      <c r="A15" s="6" t="s">
        <v>45</v>
      </c>
      <c r="B15" s="36" t="s">
        <v>46</v>
      </c>
      <c r="C15" s="7" t="str">
        <f>HYPERLINK("https://data.sopsr.sk/chranene-objekty/chranene-uzemia/detail/SKUEV0013","Stráž")</f>
        <v>Stráž</v>
      </c>
      <c r="D15" s="33">
        <v>348.90350000000001</v>
      </c>
      <c r="E15" s="44" t="str">
        <f>HYPERLINK("https://natura2000.sopsr.sk/lokality/uev/lokality-uev/?uev=SKUEV0013","Odkaz")</f>
        <v>Odkaz</v>
      </c>
      <c r="F15" s="44" t="str">
        <f>HYPERLINK("https://natura2000.sopsr.sk/wp-content/uploads/natura/legislativa/uev/ciele/SKUEV0013.docx","Spracované")</f>
        <v>Spracované</v>
      </c>
      <c r="G15" s="10" t="s">
        <v>10</v>
      </c>
      <c r="H15" s="9" t="s">
        <v>11</v>
      </c>
      <c r="I15" s="9" t="s">
        <v>12</v>
      </c>
      <c r="J15" s="10" t="s">
        <v>47</v>
      </c>
      <c r="K15" s="38">
        <v>100</v>
      </c>
    </row>
    <row r="16" spans="1:11" x14ac:dyDescent="0.25">
      <c r="A16" s="6" t="s">
        <v>48</v>
      </c>
      <c r="B16" s="36" t="s">
        <v>49</v>
      </c>
      <c r="C16" s="7" t="str">
        <f>HYPERLINK("https://data.sopsr.sk/chranene-objekty/chranene-uzemia/detail/SKUEV0014","Lázky")</f>
        <v>Lázky</v>
      </c>
      <c r="D16" s="33">
        <v>40.6492</v>
      </c>
      <c r="E16" s="44" t="str">
        <f>HYPERLINK("https://natura2000.sopsr.sk/lokality/uev/lokality-uev/?uev=SKUEV0014","Odkaz")</f>
        <v>Odkaz</v>
      </c>
      <c r="F16" s="44" t="str">
        <f>HYPERLINK("https://natura2000.sopsr.sk/wp-content/uploads/natura/legislativa/uev/ciele/SKUEV0014.docx","Spracované")</f>
        <v>Spracované</v>
      </c>
      <c r="G16" s="10" t="s">
        <v>10</v>
      </c>
      <c r="H16" s="9" t="s">
        <v>11</v>
      </c>
      <c r="I16" s="9" t="s">
        <v>26</v>
      </c>
      <c r="J16" s="10" t="s">
        <v>27</v>
      </c>
      <c r="K16" s="38">
        <v>100</v>
      </c>
    </row>
    <row r="17" spans="1:12" x14ac:dyDescent="0.25">
      <c r="A17" s="6" t="s">
        <v>50</v>
      </c>
      <c r="B17" s="36" t="s">
        <v>51</v>
      </c>
      <c r="C17" s="7" t="str">
        <f>HYPERLINK("https://data.sopsr.sk/chranene-objekty/chranene-uzemia/detail/SKUEV0015","Dolná Bukovina")</f>
        <v>Dolná Bukovina</v>
      </c>
      <c r="D17" s="33">
        <v>292.56110000000001</v>
      </c>
      <c r="E17" s="44" t="str">
        <f>HYPERLINK("https://natura2000.sopsr.sk/lokality/uev/lokality-uev/?uev=SKUEV0015","Odkaz")</f>
        <v>Odkaz</v>
      </c>
      <c r="F17" s="44" t="str">
        <f>HYPERLINK("https://natura2000.sopsr.sk/wp-content/uploads/natura/legislativa/uev/ciele/SKUEV0015.docx","Spracované")</f>
        <v>Spracované</v>
      </c>
      <c r="G17" s="10" t="s">
        <v>10</v>
      </c>
      <c r="H17" s="9" t="s">
        <v>11</v>
      </c>
      <c r="I17" s="9" t="s">
        <v>12</v>
      </c>
      <c r="J17" s="10" t="s">
        <v>52</v>
      </c>
      <c r="K17" s="38">
        <v>100</v>
      </c>
    </row>
    <row r="18" spans="1:12" x14ac:dyDescent="0.25">
      <c r="A18" s="6" t="s">
        <v>53</v>
      </c>
      <c r="B18" s="36" t="s">
        <v>54</v>
      </c>
      <c r="C18" s="7" t="str">
        <f>HYPERLINK("https://data.sopsr.sk/chranene-objekty/chranene-uzemia/detail/SKUEV0016","Košariská")</f>
        <v>Košariská</v>
      </c>
      <c r="D18" s="33">
        <v>27.188500000000001</v>
      </c>
      <c r="E18" s="44" t="str">
        <f>HYPERLINK("https://natura2000.sopsr.sk/lokality/uev/lokality-uev/?uev=SKUEV0016","Odkaz")</f>
        <v>Odkaz</v>
      </c>
      <c r="F18" s="44" t="str">
        <f>HYPERLINK("https://natura2000.sopsr.sk/wp-content/uploads/natura/legislativa/uev/ciele/SKUEV0016.docx","Spracované")</f>
        <v>Spracované</v>
      </c>
      <c r="G18" s="10" t="s">
        <v>10</v>
      </c>
      <c r="H18" s="9" t="s">
        <v>11</v>
      </c>
      <c r="I18" s="10" t="s">
        <v>55</v>
      </c>
      <c r="J18" s="10" t="s">
        <v>27</v>
      </c>
      <c r="K18" s="38">
        <v>100</v>
      </c>
    </row>
    <row r="19" spans="1:12" x14ac:dyDescent="0.25">
      <c r="A19" s="6" t="s">
        <v>56</v>
      </c>
      <c r="B19" s="36" t="s">
        <v>57</v>
      </c>
      <c r="C19" s="7" t="str">
        <f>HYPERLINK("https://data.sopsr.sk/chranene-objekty/chranene-uzemia/detail/SKUEV0017","Pri Orechovom rade")</f>
        <v>Pri Orechovom rade</v>
      </c>
      <c r="D19" s="33">
        <v>1.6984999999999999</v>
      </c>
      <c r="E19" s="44" t="str">
        <f>HYPERLINK("https://natura2000.sopsr.sk/lokality/uev/lokality-uev/?uev=SKUEV0017","Odkaz")</f>
        <v>Odkaz</v>
      </c>
      <c r="F19" s="44" t="str">
        <f>HYPERLINK("https://natura2000.sopsr.sk/wp-content/uploads/natura/legislativa/uev/ciele/SKUEV0017.docx","Spracované")</f>
        <v>Spracované</v>
      </c>
      <c r="G19" s="8" t="s">
        <v>23</v>
      </c>
      <c r="H19" s="10" t="s">
        <v>20</v>
      </c>
      <c r="I19" s="9" t="s">
        <v>58</v>
      </c>
      <c r="J19" s="10" t="s">
        <v>40</v>
      </c>
      <c r="K19" s="38">
        <v>100</v>
      </c>
    </row>
    <row r="20" spans="1:12" x14ac:dyDescent="0.25">
      <c r="A20" s="6" t="s">
        <v>59</v>
      </c>
      <c r="B20" s="36" t="s">
        <v>60</v>
      </c>
      <c r="C20" s="7" t="str">
        <f>HYPERLINK("https://data.sopsr.sk/chranene-objekty/chranene-uzemia/detail/SKUEV0018","Lúka pod cintorínom")</f>
        <v>Lúka pod cintorínom</v>
      </c>
      <c r="D20" s="33">
        <v>4.9837999999999996</v>
      </c>
      <c r="E20" s="44" t="str">
        <f>HYPERLINK("https://natura2000.sopsr.sk/lokality/uev/lokality-uev/?uev=SKUEV0018","Odkaz")</f>
        <v>Odkaz</v>
      </c>
      <c r="F20" s="44" t="str">
        <f>HYPERLINK("https://natura2000.sopsr.sk/wp-content/uploads/natura/legislativa/uev/ciele/SKUEV0018.docx","Spracované")</f>
        <v>Spracované</v>
      </c>
      <c r="G20" s="10" t="s">
        <v>10</v>
      </c>
      <c r="H20" s="9" t="s">
        <v>11</v>
      </c>
      <c r="I20" s="9" t="s">
        <v>61</v>
      </c>
      <c r="J20" s="10" t="s">
        <v>13</v>
      </c>
      <c r="K20" s="38">
        <v>100</v>
      </c>
    </row>
    <row r="21" spans="1:12" x14ac:dyDescent="0.25">
      <c r="A21" s="6" t="s">
        <v>62</v>
      </c>
      <c r="B21" s="36" t="s">
        <v>63</v>
      </c>
      <c r="C21" s="7" t="str">
        <f>HYPERLINK("https://data.sopsr.sk/chranene-objekty/chranene-uzemia/detail/SKUEV0019","Tarbucka")</f>
        <v>Tarbucka</v>
      </c>
      <c r="D21" s="33">
        <v>186.69040000000001</v>
      </c>
      <c r="E21" s="44" t="str">
        <f>HYPERLINK("https://natura2000.sopsr.sk/lokality/uev/lokality-uev/?uev=SKUEV0019","Odkaz")</f>
        <v>Odkaz</v>
      </c>
      <c r="F21" s="44" t="str">
        <f>HYPERLINK("https://natura2000.sopsr.sk/wp-content/uploads/natura/legislativa/uev/ciele/SKUEV0019.docx","Spracované")</f>
        <v>Spracované</v>
      </c>
      <c r="G21" s="10" t="s">
        <v>10</v>
      </c>
      <c r="H21" s="10" t="s">
        <v>20</v>
      </c>
      <c r="I21" s="10" t="s">
        <v>64</v>
      </c>
      <c r="J21" s="10" t="s">
        <v>22</v>
      </c>
      <c r="K21" s="38">
        <v>100</v>
      </c>
    </row>
    <row r="22" spans="1:12" ht="20.25" customHeight="1" x14ac:dyDescent="0.25">
      <c r="A22" s="6" t="s">
        <v>65</v>
      </c>
      <c r="B22" s="36" t="s">
        <v>66</v>
      </c>
      <c r="C22" s="7" t="str">
        <f>HYPERLINK("https://data.sopsr.sk/chranene-objekty/chranene-uzemia/detail/SKUEV0020","Bisce")</f>
        <v>Bisce</v>
      </c>
      <c r="D22" s="33">
        <v>28.258500000000002</v>
      </c>
      <c r="E22" s="44" t="str">
        <f>HYPERLINK("https://natura2000.sopsr.sk/lokality/uev/lokality-uev/?uev=SKUEV0020","Odkaz")</f>
        <v>Odkaz</v>
      </c>
      <c r="F22" s="44" t="str">
        <f>HYPERLINK("https://natura2000.sopsr.sk/wp-content/uploads/natura/legislativa/uev/ciele/SKUEV0020.docx","Spracované")</f>
        <v>Spracované</v>
      </c>
      <c r="G22" s="45" t="s">
        <v>23</v>
      </c>
      <c r="H22" s="10" t="s">
        <v>20</v>
      </c>
      <c r="I22" s="10" t="s">
        <v>64</v>
      </c>
      <c r="J22" s="10" t="s">
        <v>444</v>
      </c>
      <c r="K22" s="38">
        <v>100</v>
      </c>
    </row>
    <row r="23" spans="1:12" x14ac:dyDescent="0.25">
      <c r="A23" s="6" t="s">
        <v>67</v>
      </c>
      <c r="B23" s="36" t="s">
        <v>68</v>
      </c>
      <c r="C23" s="7" t="str">
        <f>HYPERLINK("https://data.sopsr.sk/chranene-objekty/chranene-uzemia/detail/SKUEV0021","Vinište")</f>
        <v>Vinište</v>
      </c>
      <c r="D23" s="33">
        <v>5.7885</v>
      </c>
      <c r="E23" s="44" t="str">
        <f>HYPERLINK("https://natura2000.sopsr.sk/lokality/uev/lokality-uev/?uev=SKUEV0021","Odkaz")</f>
        <v>Odkaz</v>
      </c>
      <c r="F23" s="44" t="str">
        <f>HYPERLINK("https://natura2000.sopsr.sk/wp-content/uploads/natura/legislativa/uev/ciele/SKUEV0021.docx","Spracované")</f>
        <v>Spracované</v>
      </c>
      <c r="G23" s="10" t="s">
        <v>10</v>
      </c>
      <c r="H23" s="9" t="s">
        <v>11</v>
      </c>
      <c r="I23" s="9" t="s">
        <v>58</v>
      </c>
      <c r="J23" s="10" t="s">
        <v>47</v>
      </c>
      <c r="K23" s="38">
        <v>100</v>
      </c>
      <c r="L23" s="42"/>
    </row>
    <row r="24" spans="1:12" x14ac:dyDescent="0.25">
      <c r="A24" s="6" t="s">
        <v>69</v>
      </c>
      <c r="B24" s="36" t="s">
        <v>70</v>
      </c>
      <c r="C24" s="7" t="str">
        <f>HYPERLINK("https://data.sopsr.sk/chranene-objekty/chranene-uzemia/detail/SKUEV0023","Tomov štál")</f>
        <v>Tomov štál</v>
      </c>
      <c r="D24" s="33">
        <v>1.4966999999999999</v>
      </c>
      <c r="E24" s="44" t="str">
        <f>HYPERLINK("https://natura2000.sopsr.sk/lokality/uev/lokality-uev/?uev=SKUEV0023","Odkaz")</f>
        <v>Odkaz</v>
      </c>
      <c r="F24" s="44" t="str">
        <f>HYPERLINK("https://natura2000.sopsr.sk/wp-content/uploads/natura/legislativa/uev/ciele/SKUEV0023.docx","Spracované")</f>
        <v>Spracované</v>
      </c>
      <c r="G24" s="10" t="s">
        <v>10</v>
      </c>
      <c r="H24" s="9" t="s">
        <v>11</v>
      </c>
      <c r="I24" s="9" t="s">
        <v>61</v>
      </c>
      <c r="J24" s="10" t="s">
        <v>47</v>
      </c>
      <c r="K24" s="38">
        <v>100</v>
      </c>
    </row>
    <row r="25" spans="1:12" x14ac:dyDescent="0.25">
      <c r="A25" s="6" t="s">
        <v>71</v>
      </c>
      <c r="B25" s="36" t="s">
        <v>72</v>
      </c>
      <c r="C25" s="7" t="str">
        <f>HYPERLINK("https://data.sopsr.sk/chranene-objekty/chranene-uzemia/detail/SKUEV0024","Hradná dolina")</f>
        <v>Hradná dolina</v>
      </c>
      <c r="D25" s="33">
        <v>14.328900000000001</v>
      </c>
      <c r="E25" s="44" t="str">
        <f>HYPERLINK("https://natura2000.sopsr.sk/lokality/uev/lokality-uev/?uev=SKUEV0024","Odkaz")</f>
        <v>Odkaz</v>
      </c>
      <c r="F25" s="44" t="str">
        <f>HYPERLINK("https://natura2000.sopsr.sk/wp-content/uploads/natura/legislativa/uev/ciele/SKUEV0024.docx","Spracované")</f>
        <v>Spracované</v>
      </c>
      <c r="G25" s="8" t="s">
        <v>23</v>
      </c>
      <c r="H25" s="9" t="s">
        <v>11</v>
      </c>
      <c r="I25" s="9" t="s">
        <v>58</v>
      </c>
      <c r="J25" s="10" t="s">
        <v>47</v>
      </c>
      <c r="K25" s="38">
        <v>100</v>
      </c>
    </row>
    <row r="26" spans="1:12" x14ac:dyDescent="0.25">
      <c r="A26" s="6" t="s">
        <v>73</v>
      </c>
      <c r="B26" s="36" t="s">
        <v>74</v>
      </c>
      <c r="C26" s="7" t="str">
        <f>HYPERLINK("https://data.sopsr.sk/chranene-objekty/chranene-uzemia/detail/SKUEV0025","Vihorlat")</f>
        <v>Vihorlat</v>
      </c>
      <c r="D26" s="33">
        <v>229.44390000000001</v>
      </c>
      <c r="E26" s="44" t="str">
        <f>HYPERLINK("https://natura2000.sopsr.sk/lokality/uev/lokality-uev/?uev=SKUEV0025","Odkaz")</f>
        <v>Odkaz</v>
      </c>
      <c r="F26" s="44" t="str">
        <f>HYPERLINK("https://natura2000.sopsr.sk/wp-content/uploads/natura/legislativa/uev/ciele/SKUEV0025.docx","Spracované")</f>
        <v>Spracované</v>
      </c>
      <c r="G26" s="10" t="s">
        <v>10</v>
      </c>
      <c r="H26" s="9" t="s">
        <v>11</v>
      </c>
      <c r="I26" s="9" t="s">
        <v>55</v>
      </c>
      <c r="J26" s="10" t="s">
        <v>75</v>
      </c>
      <c r="K26" s="38">
        <v>100</v>
      </c>
    </row>
    <row r="27" spans="1:12" x14ac:dyDescent="0.25">
      <c r="A27" s="6" t="s">
        <v>76</v>
      </c>
      <c r="B27" s="36" t="s">
        <v>77</v>
      </c>
      <c r="C27" s="7" t="str">
        <f>HYPERLINK("https://data.sopsr.sk/chranene-objekty/chranene-uzemia/detail/SKUEV0026","Raškovský luh")</f>
        <v>Raškovský luh</v>
      </c>
      <c r="D27" s="33">
        <v>16.605599999999999</v>
      </c>
      <c r="E27" s="44" t="str">
        <f>HYPERLINK("https://natura2000.sopsr.sk/lokality/uev/lokality-uev/?uev=SKUEV0026","Odkaz")</f>
        <v>Odkaz</v>
      </c>
      <c r="F27" s="44" t="str">
        <f>HYPERLINK("https://natura2000.sopsr.sk/wp-content/uploads/natura/legislativa/uev/ciele/SKUEV0026.docx","Spracované")</f>
        <v>Spracované</v>
      </c>
      <c r="G27" s="8" t="s">
        <v>78</v>
      </c>
      <c r="H27" s="10" t="s">
        <v>20</v>
      </c>
      <c r="I27" s="10" t="s">
        <v>64</v>
      </c>
      <c r="J27" s="10" t="s">
        <v>444</v>
      </c>
      <c r="K27" s="38">
        <v>100</v>
      </c>
    </row>
    <row r="28" spans="1:12" x14ac:dyDescent="0.25">
      <c r="A28" s="6" t="s">
        <v>79</v>
      </c>
      <c r="B28" s="36" t="s">
        <v>80</v>
      </c>
      <c r="C28" s="7" t="str">
        <f>HYPERLINK("https://data.sopsr.sk/chranene-objekty/chranene-uzemia/detail/SKUEV0029","Veľký kopec")</f>
        <v>Veľký kopec</v>
      </c>
      <c r="D28" s="33">
        <v>25.040800000000001</v>
      </c>
      <c r="E28" s="44" t="str">
        <f>HYPERLINK("https://natura2000.sopsr.sk/lokality/uev/lokality-uev/?uev=SKUEV0029","Odkaz")</f>
        <v>Odkaz</v>
      </c>
      <c r="F28" s="44" t="str">
        <f>HYPERLINK("https://natura2000.sopsr.sk/wp-content/uploads/natura/legislativa/uev/ciele/SKUEV0029.docx","Spracované")</f>
        <v>Spracované</v>
      </c>
      <c r="G28" s="8" t="s">
        <v>78</v>
      </c>
      <c r="H28" s="10" t="s">
        <v>20</v>
      </c>
      <c r="I28" s="10" t="s">
        <v>64</v>
      </c>
      <c r="J28" s="10" t="s">
        <v>22</v>
      </c>
      <c r="K28" s="38">
        <v>100</v>
      </c>
    </row>
    <row r="29" spans="1:12" x14ac:dyDescent="0.25">
      <c r="A29" s="6" t="s">
        <v>81</v>
      </c>
      <c r="B29" s="36" t="s">
        <v>82</v>
      </c>
      <c r="C29" s="7" t="str">
        <f>HYPERLINK("https://data.sopsr.sk/chranene-objekty/chranene-uzemia/detail/SKUEV0030","Horešské lúky")</f>
        <v>Horešské lúky</v>
      </c>
      <c r="D29" s="33">
        <v>91.625299999999996</v>
      </c>
      <c r="E29" s="44" t="str">
        <f>HYPERLINK("https://natura2000.sopsr.sk/lokality/uev/lokality-uev/?uev=SKUEV0030","Odkaz")</f>
        <v>Odkaz</v>
      </c>
      <c r="F29" s="44" t="str">
        <f>HYPERLINK("https://natura2000.sopsr.sk/wp-content/uploads/natura/legislativa/uev/ciele/SKUEV0030.docx","Spracované")</f>
        <v>Spracované</v>
      </c>
      <c r="G29" s="10" t="s">
        <v>10</v>
      </c>
      <c r="H29" s="9" t="s">
        <v>20</v>
      </c>
      <c r="I29" s="10" t="s">
        <v>64</v>
      </c>
      <c r="J29" s="10" t="s">
        <v>22</v>
      </c>
      <c r="K29" s="38">
        <v>0</v>
      </c>
    </row>
    <row r="30" spans="1:12" x14ac:dyDescent="0.25">
      <c r="A30" s="6" t="s">
        <v>83</v>
      </c>
      <c r="B30" s="36" t="s">
        <v>84</v>
      </c>
      <c r="C30" s="7" t="str">
        <f>HYPERLINK("https://data.sopsr.sk/chranene-objekty/chranene-uzemia/detail/SKUEV0032","Ladmovské vápence")</f>
        <v>Ladmovské vápence</v>
      </c>
      <c r="D30" s="33">
        <v>345.01650000000001</v>
      </c>
      <c r="E30" s="44" t="str">
        <f>HYPERLINK("https://natura2000.sopsr.sk/lokality/uev/lokality-uev/?uev=SKUEV0032","Odkaz")</f>
        <v>Odkaz</v>
      </c>
      <c r="F30" s="44" t="str">
        <f>HYPERLINK("https://natura2000.sopsr.sk/wp-content/uploads/natura/legislativa/uev/ciele/SKUEV0032.docx","Spracované")</f>
        <v>Spracované</v>
      </c>
      <c r="G30" s="10" t="s">
        <v>10</v>
      </c>
      <c r="H30" s="9" t="s">
        <v>20</v>
      </c>
      <c r="I30" s="10" t="s">
        <v>64</v>
      </c>
      <c r="J30" s="10" t="s">
        <v>22</v>
      </c>
      <c r="K30" s="38">
        <v>100</v>
      </c>
    </row>
    <row r="31" spans="1:12" ht="22.5" customHeight="1" x14ac:dyDescent="0.25">
      <c r="A31" s="6" t="s">
        <v>85</v>
      </c>
      <c r="B31" s="36" t="s">
        <v>86</v>
      </c>
      <c r="C31" s="7" t="str">
        <f>HYPERLINK("https://data.sopsr.sk/chranene-objekty/chranene-uzemia/detail/SKUEV0034","Boršiansky les")</f>
        <v>Boršiansky les</v>
      </c>
      <c r="D31" s="33">
        <v>7.9526000000000003</v>
      </c>
      <c r="E31" s="44" t="str">
        <f>HYPERLINK("https://natura2000.sopsr.sk/lokality/uev/lokality-uev/?uev=SKUEV0034","Odkaz")</f>
        <v>Odkaz</v>
      </c>
      <c r="F31" s="44" t="str">
        <f>HYPERLINK("https://natura2000.sopsr.sk/wp-content/uploads/natura/legislativa/uev/ciele/SKUEV0034.docx","Spracované")</f>
        <v>Spracované</v>
      </c>
      <c r="G31" s="8" t="s">
        <v>23</v>
      </c>
      <c r="H31" s="9" t="s">
        <v>20</v>
      </c>
      <c r="I31" s="10" t="s">
        <v>64</v>
      </c>
      <c r="J31" s="10" t="s">
        <v>22</v>
      </c>
      <c r="K31" s="38">
        <v>100</v>
      </c>
    </row>
    <row r="32" spans="1:12" x14ac:dyDescent="0.25">
      <c r="A32" s="6" t="s">
        <v>87</v>
      </c>
      <c r="B32" s="36" t="s">
        <v>88</v>
      </c>
      <c r="C32" s="7" t="str">
        <f>HYPERLINK("https://data.sopsr.sk/chranene-objekty/chranene-uzemia/detail/SKUEV0035","Čebovská lesostep")</f>
        <v>Čebovská lesostep</v>
      </c>
      <c r="D32" s="33">
        <v>192.2535</v>
      </c>
      <c r="E32" s="44" t="str">
        <f>HYPERLINK("https://natura2000.sopsr.sk/lokality/uev/lokality-uev/?uev=SKUEV0035","Odkaz")</f>
        <v>Odkaz</v>
      </c>
      <c r="F32" s="44" t="str">
        <f>HYPERLINK("https://natura2000.sopsr.sk/wp-content/uploads/natura/legislativa/uev/ciele/SKUEV0035.docx","Spracované")</f>
        <v>Spracované</v>
      </c>
      <c r="G32" s="10" t="s">
        <v>10</v>
      </c>
      <c r="H32" s="9" t="s">
        <v>11</v>
      </c>
      <c r="I32" s="9" t="s">
        <v>61</v>
      </c>
      <c r="J32" s="10" t="s">
        <v>52</v>
      </c>
      <c r="K32" s="38">
        <v>4</v>
      </c>
    </row>
    <row r="33" spans="1:11" ht="22.5" customHeight="1" x14ac:dyDescent="0.25">
      <c r="A33" s="6" t="s">
        <v>89</v>
      </c>
      <c r="B33" s="36" t="s">
        <v>90</v>
      </c>
      <c r="C33" s="7" t="str">
        <f>HYPERLINK("https://data.sopsr.sk/chranene-objekty/chranene-uzemia/detail/SKUEV0036","Litava")</f>
        <v>Litava</v>
      </c>
      <c r="D33" s="33">
        <v>2632.8971999999999</v>
      </c>
      <c r="E33" s="44" t="str">
        <f>HYPERLINK("https://natura2000.sopsr.sk/lokality/uev/lokality-uev/?uev=SKUEV0036","Odkaz")</f>
        <v>Odkaz</v>
      </c>
      <c r="F33" s="44" t="str">
        <f>HYPERLINK("https://natura2000.sopsr.sk/wp-content/uploads/natura/legislativa/uev/ciele/SKUEV0036.docx","Spracované")</f>
        <v>Spracované</v>
      </c>
      <c r="G33" s="10" t="s">
        <v>10</v>
      </c>
      <c r="H33" s="9" t="s">
        <v>91</v>
      </c>
      <c r="I33" s="9" t="s">
        <v>92</v>
      </c>
      <c r="J33" s="10" t="s">
        <v>52</v>
      </c>
      <c r="K33" s="38">
        <v>6</v>
      </c>
    </row>
    <row r="34" spans="1:11" x14ac:dyDescent="0.25">
      <c r="A34" s="6" t="s">
        <v>93</v>
      </c>
      <c r="B34" s="36" t="s">
        <v>94</v>
      </c>
      <c r="C34" s="7" t="str">
        <f>HYPERLINK("https://data.sopsr.sk/chranene-objekty/chranene-uzemia/detail/SKUEV0037","Oborínsky les")</f>
        <v>Oborínsky les</v>
      </c>
      <c r="D34" s="33">
        <v>9.8473000000000006</v>
      </c>
      <c r="E34" s="44" t="str">
        <f>HYPERLINK("https://natura2000.sopsr.sk/lokality/uev/lokality-uev/?uev=SKUEV0037","Odkaz")</f>
        <v>Odkaz</v>
      </c>
      <c r="F34" s="44" t="str">
        <f>HYPERLINK("https://natura2000.sopsr.sk/wp-content/uploads/natura/legislativa/uev/ciele/SKUEV0037.docx","Spracované")</f>
        <v>Spracované</v>
      </c>
      <c r="G34" s="10" t="s">
        <v>10</v>
      </c>
      <c r="H34" s="9" t="s">
        <v>20</v>
      </c>
      <c r="I34" s="10" t="s">
        <v>64</v>
      </c>
      <c r="J34" s="10" t="s">
        <v>22</v>
      </c>
      <c r="K34" s="38">
        <v>100</v>
      </c>
    </row>
    <row r="35" spans="1:11" x14ac:dyDescent="0.25">
      <c r="A35" s="6" t="s">
        <v>95</v>
      </c>
      <c r="B35" s="36" t="s">
        <v>96</v>
      </c>
      <c r="C35" s="7" t="str">
        <f>HYPERLINK("https://data.sopsr.sk/chranene-objekty/chranene-uzemia/detail/SKUEV0038","Oborínske jamy")</f>
        <v>Oborínske jamy</v>
      </c>
      <c r="D35" s="33">
        <v>8.4010999999999996</v>
      </c>
      <c r="E35" s="44" t="str">
        <f>HYPERLINK("https://natura2000.sopsr.sk/lokality/uev/lokality-uev/?uev=SKUEV0038","Odkaz")</f>
        <v>Odkaz</v>
      </c>
      <c r="F35" s="44" t="str">
        <f>HYPERLINK("https://natura2000.sopsr.sk/wp-content/uploads/natura/legislativa/uev/ciele/SKUEV0038.docx","Spracované")</f>
        <v>Spracované</v>
      </c>
      <c r="G35" s="10" t="s">
        <v>10</v>
      </c>
      <c r="H35" s="9" t="s">
        <v>20</v>
      </c>
      <c r="I35" s="10" t="s">
        <v>64</v>
      </c>
      <c r="J35" s="10" t="s">
        <v>22</v>
      </c>
      <c r="K35" s="38">
        <v>100</v>
      </c>
    </row>
    <row r="36" spans="1:11" x14ac:dyDescent="0.25">
      <c r="A36" s="6" t="s">
        <v>97</v>
      </c>
      <c r="B36" s="36" t="s">
        <v>98</v>
      </c>
      <c r="C36" s="7" t="str">
        <f>HYPERLINK("https://data.sopsr.sk/chranene-objekty/chranene-uzemia/detail/SKUEV0043","Kamenná")</f>
        <v>Kamenná</v>
      </c>
      <c r="D36" s="33">
        <v>823.98829999999998</v>
      </c>
      <c r="E36" s="44" t="str">
        <f>HYPERLINK("https://natura2000.sopsr.sk/lokality/uev/lokality-uev/?uev=SKUEV0043","Odkaz")</f>
        <v>Odkaz</v>
      </c>
      <c r="F36" s="44" t="str">
        <f>HYPERLINK("https://natura2000.sopsr.sk/wp-content/uploads/natura/legislativa/uev/ciele/SKUEV0043.docx","Spracované")</f>
        <v>Spracované</v>
      </c>
      <c r="G36" s="10" t="s">
        <v>10</v>
      </c>
      <c r="H36" s="10" t="s">
        <v>11</v>
      </c>
      <c r="I36" s="9" t="s">
        <v>55</v>
      </c>
      <c r="J36" s="10" t="s">
        <v>27</v>
      </c>
      <c r="K36" s="38">
        <v>0</v>
      </c>
    </row>
    <row r="37" spans="1:11" x14ac:dyDescent="0.25">
      <c r="A37" s="6" t="s">
        <v>99</v>
      </c>
      <c r="B37" s="36" t="s">
        <v>100</v>
      </c>
      <c r="C37" s="7" t="str">
        <f>HYPERLINK("https://data.sopsr.sk/chranene-objekty/chranene-uzemia/detail/SKUEV0044","Badínsky prales")</f>
        <v>Badínsky prales</v>
      </c>
      <c r="D37" s="33">
        <v>153.41980000000001</v>
      </c>
      <c r="E37" s="44" t="str">
        <f>HYPERLINK("https://natura2000.sopsr.sk/lokality/uev/lokality-uev/?uev=SKUEV0044","Odkaz")</f>
        <v>Odkaz</v>
      </c>
      <c r="F37" s="44" t="str">
        <f>HYPERLINK("https://natura2000.sopsr.sk/wp-content/uploads/natura/legislativa/uev/ciele/SKUEV0044.docx","Spracované")</f>
        <v>Spracované</v>
      </c>
      <c r="G37" s="8" t="s">
        <v>23</v>
      </c>
      <c r="H37" s="10" t="s">
        <v>11</v>
      </c>
      <c r="I37" s="10" t="s">
        <v>61</v>
      </c>
      <c r="J37" s="10" t="s">
        <v>34</v>
      </c>
      <c r="K37" s="38">
        <v>100</v>
      </c>
    </row>
    <row r="38" spans="1:11" x14ac:dyDescent="0.25">
      <c r="A38" s="6" t="s">
        <v>101</v>
      </c>
      <c r="B38" s="36" t="s">
        <v>102</v>
      </c>
      <c r="C38" s="7" t="str">
        <f>HYPERLINK("https://data.sopsr.sk/chranene-objekty/chranene-uzemia/detail/SKUEV0045","Kopa")</f>
        <v>Kopa</v>
      </c>
      <c r="D38" s="33">
        <v>89.785799999999995</v>
      </c>
      <c r="E38" s="44" t="str">
        <f>HYPERLINK("https://natura2000.sopsr.sk/lokality/uev/lokality-uev/?uev=SKUEV0045","Odkaz")</f>
        <v>Odkaz</v>
      </c>
      <c r="F38" s="44" t="str">
        <f>HYPERLINK("https://natura2000.sopsr.sk/wp-content/uploads/natura/legislativa/uev/ciele/SKUEV0045.docx","Spracované")</f>
        <v>Spracované</v>
      </c>
      <c r="G38" s="10" t="s">
        <v>10</v>
      </c>
      <c r="H38" s="10" t="s">
        <v>11</v>
      </c>
      <c r="I38" s="10" t="s">
        <v>61</v>
      </c>
      <c r="J38" s="10" t="s">
        <v>34</v>
      </c>
      <c r="K38" s="38">
        <v>100</v>
      </c>
    </row>
    <row r="39" spans="1:11" x14ac:dyDescent="0.25">
      <c r="A39" s="6" t="s">
        <v>103</v>
      </c>
      <c r="B39" s="36" t="s">
        <v>104</v>
      </c>
      <c r="C39" s="7" t="str">
        <f>HYPERLINK("https://data.sopsr.sk/chranene-objekty/chranene-uzemia/detail/SKUEV0046","Javorinka")</f>
        <v>Javorinka</v>
      </c>
      <c r="D39" s="33">
        <v>44.3123</v>
      </c>
      <c r="E39" s="44" t="str">
        <f>HYPERLINK("https://natura2000.sopsr.sk/lokality/uev/lokality-uev/?uev=SKUEV0046","Odkaz")</f>
        <v>Odkaz</v>
      </c>
      <c r="F39" s="44" t="str">
        <f>HYPERLINK("https://natura2000.sopsr.sk/wp-content/uploads/natura/legislativa/uev/ciele/SKUEV0046.docx","Spracované")</f>
        <v>Spracované</v>
      </c>
      <c r="G39" s="10" t="s">
        <v>10</v>
      </c>
      <c r="H39" s="9" t="s">
        <v>11</v>
      </c>
      <c r="I39" s="10" t="s">
        <v>61</v>
      </c>
      <c r="J39" s="10" t="s">
        <v>34</v>
      </c>
      <c r="K39" s="38">
        <v>100</v>
      </c>
    </row>
    <row r="40" spans="1:11" x14ac:dyDescent="0.25">
      <c r="A40" s="6" t="s">
        <v>105</v>
      </c>
      <c r="B40" s="36" t="s">
        <v>106</v>
      </c>
      <c r="C40" s="7" t="str">
        <f>HYPERLINK("https://data.sopsr.sk/chranene-objekty/chranene-uzemia/detail/SKUEV0047","Dobročský prales")</f>
        <v>Dobročský prales</v>
      </c>
      <c r="D40" s="33">
        <v>204.2938</v>
      </c>
      <c r="E40" s="44" t="str">
        <f>HYPERLINK("https://natura2000.sopsr.sk/lokality/uev/lokality-uev/?uev=SKUEV0047","Odkaz")</f>
        <v>Odkaz</v>
      </c>
      <c r="F40" s="44" t="str">
        <f>HYPERLINK("https://natura2000.sopsr.sk/wp-content/uploads/natura/legislativa/uev/ciele/SKUEV0047.docx","Spracované")</f>
        <v>Spracované</v>
      </c>
      <c r="G40" s="8" t="s">
        <v>23</v>
      </c>
      <c r="H40" s="10" t="s">
        <v>11</v>
      </c>
      <c r="I40" s="9" t="s">
        <v>61</v>
      </c>
      <c r="J40" s="10" t="s">
        <v>34</v>
      </c>
      <c r="K40" s="38">
        <v>100</v>
      </c>
    </row>
    <row r="41" spans="1:11" x14ac:dyDescent="0.25">
      <c r="A41" s="6" t="s">
        <v>107</v>
      </c>
      <c r="B41" s="36" t="s">
        <v>108</v>
      </c>
      <c r="C41" s="7" t="str">
        <f>HYPERLINK("https://data.sopsr.sk/chranene-objekty/chranene-uzemia/detail/SKUEV0048","Dukla")</f>
        <v>Dukla</v>
      </c>
      <c r="D41" s="33">
        <v>7045.8382000000001</v>
      </c>
      <c r="E41" s="44" t="str">
        <f>HYPERLINK("https://natura2000.sopsr.sk/lokality/uev/lokality-uev/?uev=SKUEV0048","Odkaz")</f>
        <v>Odkaz</v>
      </c>
      <c r="F41" s="44" t="str">
        <f>HYPERLINK("https://natura2000.sopsr.sk/wp-content/uploads/natura/legislativa/uev/ciele/SKUEV0048.docx","Spracované")</f>
        <v>Spracované</v>
      </c>
      <c r="G41" s="10" t="s">
        <v>10</v>
      </c>
      <c r="H41" s="10" t="s">
        <v>11</v>
      </c>
      <c r="I41" s="9" t="s">
        <v>55</v>
      </c>
      <c r="J41" s="10" t="s">
        <v>27</v>
      </c>
      <c r="K41" s="38">
        <v>100</v>
      </c>
    </row>
    <row r="42" spans="1:11" x14ac:dyDescent="0.25">
      <c r="A42" s="6" t="s">
        <v>109</v>
      </c>
      <c r="B42" s="36" t="s">
        <v>110</v>
      </c>
      <c r="C42" s="7" t="str">
        <f>HYPERLINK("https://data.sopsr.sk/chranene-objekty/chranene-uzemia/detail/SKUEV0049","Alúvium Rieky")</f>
        <v>Alúvium Rieky</v>
      </c>
      <c r="D42" s="33">
        <v>13.077199999999999</v>
      </c>
      <c r="E42" s="44" t="str">
        <f>HYPERLINK("https://natura2000.sopsr.sk/lokality/uev/lokality-uev/?uev=SKUEV0049","Odkaz")</f>
        <v>Odkaz</v>
      </c>
      <c r="F42" s="44" t="str">
        <f>HYPERLINK("https://natura2000.sopsr.sk/wp-content/uploads/natura/legislativa/uev/ciele/SKUEV0049.docx","Spracované")</f>
        <v>Spracované</v>
      </c>
      <c r="G42" s="13" t="s">
        <v>10</v>
      </c>
      <c r="H42" s="10" t="s">
        <v>11</v>
      </c>
      <c r="I42" s="9" t="s">
        <v>55</v>
      </c>
      <c r="J42" s="10" t="s">
        <v>27</v>
      </c>
      <c r="K42" s="38">
        <v>0</v>
      </c>
    </row>
    <row r="43" spans="1:11" x14ac:dyDescent="0.25">
      <c r="A43" s="6" t="s">
        <v>111</v>
      </c>
      <c r="B43" s="36" t="s">
        <v>112</v>
      </c>
      <c r="C43" s="7" t="str">
        <f>HYPERLINK("https://data.sopsr.sk/chranene-objekty/chranene-uzemia/detail/SKUEV0050","Humenský Sokol")</f>
        <v>Humenský Sokol</v>
      </c>
      <c r="D43" s="33">
        <v>287.50200000000001</v>
      </c>
      <c r="E43" s="44" t="str">
        <f>HYPERLINK("https://natura2000.sopsr.sk/lokality/uev/lokality-uev/?uev=SKUEV0050","Odkaz")</f>
        <v>Odkaz</v>
      </c>
      <c r="F43" s="44" t="str">
        <f>HYPERLINK("https://natura2000.sopsr.sk/wp-content/uploads/natura/legislativa/uev/ciele/SKUEV0050.docx","Spracované")</f>
        <v>Spracované</v>
      </c>
      <c r="G43" s="13" t="s">
        <v>10</v>
      </c>
      <c r="H43" s="10" t="s">
        <v>11</v>
      </c>
      <c r="I43" s="9" t="s">
        <v>55</v>
      </c>
      <c r="J43" s="10" t="s">
        <v>27</v>
      </c>
      <c r="K43" s="38">
        <v>86</v>
      </c>
    </row>
    <row r="44" spans="1:11" x14ac:dyDescent="0.25">
      <c r="A44" s="6" t="s">
        <v>113</v>
      </c>
      <c r="B44" s="36" t="s">
        <v>114</v>
      </c>
      <c r="C44" s="7" t="str">
        <f>HYPERLINK("https://data.sopsr.sk/chranene-objekty/chranene-uzemia/detail/SKUEV0051","Kyjovský prales")</f>
        <v>Kyjovský prales</v>
      </c>
      <c r="D44" s="33">
        <v>396.5915</v>
      </c>
      <c r="E44" s="44" t="str">
        <f>HYPERLINK("https://natura2000.sopsr.sk/lokality/uev/lokality-uev/?uev=SKUEV0051","Odkaz")</f>
        <v>Odkaz</v>
      </c>
      <c r="F44" s="44" t="str">
        <f>HYPERLINK("https://natura2000.sopsr.sk/wp-content/uploads/natura/legislativa/uev/ciele/SKUEV0051.docx","Spracované")</f>
        <v>Spracované</v>
      </c>
      <c r="G44" s="10" t="s">
        <v>10</v>
      </c>
      <c r="H44" s="9" t="s">
        <v>11</v>
      </c>
      <c r="I44" s="9" t="s">
        <v>55</v>
      </c>
      <c r="J44" s="10" t="s">
        <v>27</v>
      </c>
      <c r="K44" s="38">
        <v>100</v>
      </c>
    </row>
    <row r="45" spans="1:11" x14ac:dyDescent="0.25">
      <c r="A45" s="6" t="s">
        <v>115</v>
      </c>
      <c r="B45" s="36" t="s">
        <v>116</v>
      </c>
      <c r="C45" s="7" t="str">
        <f>HYPERLINK("https://data.sopsr.sk/chranene-objekty/chranene-uzemia/detail/SKUEV0052","Seleštianska stráň")</f>
        <v>Seleštianska stráň</v>
      </c>
      <c r="D45" s="33">
        <v>9.0721000000000007</v>
      </c>
      <c r="E45" s="44" t="str">
        <f>HYPERLINK("https://natura2000.sopsr.sk/lokality/uev/lokality-uev/?uev=SKUEV0052","Odkaz")</f>
        <v>Odkaz</v>
      </c>
      <c r="F45" s="44" t="str">
        <f>HYPERLINK("https://natura2000.sopsr.sk/wp-content/uploads/natura/legislativa/uev/ciele/SKUEV0052.docx","Spracované")</f>
        <v>Spracované</v>
      </c>
      <c r="G45" s="10" t="s">
        <v>10</v>
      </c>
      <c r="H45" s="9" t="s">
        <v>20</v>
      </c>
      <c r="I45" s="9" t="s">
        <v>61</v>
      </c>
      <c r="J45" s="10" t="s">
        <v>52</v>
      </c>
      <c r="K45" s="38">
        <v>12</v>
      </c>
    </row>
    <row r="46" spans="1:11" x14ac:dyDescent="0.25">
      <c r="A46" s="6" t="s">
        <v>117</v>
      </c>
      <c r="B46" s="36" t="s">
        <v>118</v>
      </c>
      <c r="C46" s="7" t="str">
        <f>HYPERLINK("https://data.sopsr.sk/chranene-objekty/chranene-uzemia/detail/SKUEV0053","Kiarovský močiar")</f>
        <v>Kiarovský močiar</v>
      </c>
      <c r="D46" s="33">
        <v>29.701599999999999</v>
      </c>
      <c r="E46" s="44" t="str">
        <f>HYPERLINK("https://natura2000.sopsr.sk/lokality/uev/lokality-uev/?uev=SKUEV0053","Odkaz")</f>
        <v>Odkaz</v>
      </c>
      <c r="F46" s="44" t="str">
        <f>HYPERLINK("https://natura2000.sopsr.sk/wp-content/uploads/natura/legislativa/uev/ciele/SKUEV0053.docx","Spracované")</f>
        <v>Spracované</v>
      </c>
      <c r="G46" s="10" t="s">
        <v>10</v>
      </c>
      <c r="H46" s="9" t="s">
        <v>20</v>
      </c>
      <c r="I46" s="9" t="s">
        <v>61</v>
      </c>
      <c r="J46" s="10" t="s">
        <v>52</v>
      </c>
      <c r="K46" s="38">
        <v>55</v>
      </c>
    </row>
    <row r="47" spans="1:11" ht="26.25" customHeight="1" x14ac:dyDescent="0.25">
      <c r="A47" s="6" t="s">
        <v>119</v>
      </c>
      <c r="B47" s="36" t="s">
        <v>120</v>
      </c>
      <c r="C47" s="7" t="str">
        <f>HYPERLINK("https://data.sopsr.sk/chranene-objekty/chranene-uzemia/detail/SKUEV0054","Cúdeninský močiar")</f>
        <v>Cúdeninský močiar</v>
      </c>
      <c r="D47" s="33">
        <v>137.99870000000001</v>
      </c>
      <c r="E47" s="44" t="str">
        <f>HYPERLINK("https://natura2000.sopsr.sk/lokality/uev/lokality-uev/?uev=SKUEV0054","Odkaz")</f>
        <v>Odkaz</v>
      </c>
      <c r="F47" s="44" t="str">
        <f>HYPERLINK("https://natura2000.sopsr.sk/wp-content/uploads/natura/legislativa/uev/ciele/SKUEV0054.docx","Spracované")</f>
        <v>Spracované</v>
      </c>
      <c r="G47" s="10" t="s">
        <v>10</v>
      </c>
      <c r="H47" s="9" t="s">
        <v>20</v>
      </c>
      <c r="I47" s="9" t="s">
        <v>61</v>
      </c>
      <c r="J47" s="10" t="s">
        <v>52</v>
      </c>
      <c r="K47" s="38">
        <v>100</v>
      </c>
    </row>
    <row r="48" spans="1:11" x14ac:dyDescent="0.25">
      <c r="A48" s="6" t="s">
        <v>121</v>
      </c>
      <c r="B48" s="36" t="s">
        <v>122</v>
      </c>
      <c r="C48" s="7" t="str">
        <f>HYPERLINK("https://data.sopsr.sk/chranene-objekty/chranene-uzemia/detail/SKUEV0055","Ipeľské hony")</f>
        <v>Ipeľské hony</v>
      </c>
      <c r="D48" s="33">
        <v>25.025200000000002</v>
      </c>
      <c r="E48" s="44" t="str">
        <f>HYPERLINK("https://natura2000.sopsr.sk/lokality/uev/lokality-uev/?uev=SKUEV0055","Odkaz")</f>
        <v>Odkaz</v>
      </c>
      <c r="F48" s="44" t="str">
        <f>HYPERLINK("https://natura2000.sopsr.sk/wp-content/uploads/natura/legislativa/uev/ciele/SKUEV0055.docx","Spracované")</f>
        <v>Spracované</v>
      </c>
      <c r="G48" s="10" t="s">
        <v>10</v>
      </c>
      <c r="H48" s="9" t="s">
        <v>20</v>
      </c>
      <c r="I48" s="9" t="s">
        <v>61</v>
      </c>
      <c r="J48" s="10" t="s">
        <v>52</v>
      </c>
      <c r="K48" s="38">
        <v>100</v>
      </c>
    </row>
    <row r="49" spans="1:11" x14ac:dyDescent="0.25">
      <c r="A49" s="6" t="s">
        <v>123</v>
      </c>
      <c r="B49" s="36" t="s">
        <v>124</v>
      </c>
      <c r="C49" s="7" t="str">
        <f>HYPERLINK("https://data.sopsr.sk/chranene-objekty/chranene-uzemia/detail/SKUEV0056","Habáňovo")</f>
        <v>Habáňovo</v>
      </c>
      <c r="D49" s="33">
        <v>3.2639</v>
      </c>
      <c r="E49" s="44" t="str">
        <f>HYPERLINK("https://natura2000.sopsr.sk/lokality/uev/lokality-uev/?uev=SKUEV0056","Odkaz")</f>
        <v>Odkaz</v>
      </c>
      <c r="F49" s="44" t="str">
        <f>HYPERLINK("https://natura2000.sopsr.sk/wp-content/uploads/natura/legislativa/uev/ciele/SKUEV0056.docx","Spracované")</f>
        <v>Spracované</v>
      </c>
      <c r="G49" s="8" t="s">
        <v>23</v>
      </c>
      <c r="H49" s="10" t="s">
        <v>11</v>
      </c>
      <c r="I49" s="9" t="s">
        <v>61</v>
      </c>
      <c r="J49" s="10" t="s">
        <v>34</v>
      </c>
      <c r="K49" s="38">
        <v>100</v>
      </c>
    </row>
    <row r="50" spans="1:11" x14ac:dyDescent="0.25">
      <c r="A50" s="6" t="s">
        <v>125</v>
      </c>
      <c r="B50" s="36" t="s">
        <v>126</v>
      </c>
      <c r="C50" s="7" t="str">
        <f>HYPERLINK("https://data.sopsr.sk/chranene-objekty/chranene-uzemia/detail/SKUEV0057","Rašeliniská Oravskej kotliny")</f>
        <v>Rašeliniská Oravskej kotliny</v>
      </c>
      <c r="D50" s="33">
        <v>840.32280000000003</v>
      </c>
      <c r="E50" s="44" t="str">
        <f>HYPERLINK("https://natura2000.sopsr.sk/lokality/uev/lokality-uev/?uev=SKUEV0057","Odkaz")</f>
        <v>Odkaz</v>
      </c>
      <c r="F50" s="44" t="str">
        <f>HYPERLINK("https://natura2000.sopsr.sk/wp-content/uploads/natura/legislativa/uev/ciele/SKUEV0057.docx","Spracované")</f>
        <v>Spracované</v>
      </c>
      <c r="G50" s="10" t="s">
        <v>10</v>
      </c>
      <c r="H50" s="10" t="s">
        <v>11</v>
      </c>
      <c r="I50" s="9" t="s">
        <v>127</v>
      </c>
      <c r="J50" s="10" t="s">
        <v>128</v>
      </c>
      <c r="K50" s="38">
        <v>100</v>
      </c>
    </row>
    <row r="51" spans="1:11" x14ac:dyDescent="0.25">
      <c r="A51" s="6" t="s">
        <v>129</v>
      </c>
      <c r="B51" s="36" t="s">
        <v>130</v>
      </c>
      <c r="C51" s="7" t="str">
        <f>HYPERLINK("https://data.sopsr.sk/chranene-objekty/chranene-uzemia/detail/SKUEV0058","Tlstá")</f>
        <v>Tlstá</v>
      </c>
      <c r="D51" s="33">
        <v>292.46469999999999</v>
      </c>
      <c r="E51" s="44" t="str">
        <f>HYPERLINK("https://natura2000.sopsr.sk/lokality/uev/lokality-uev/?uev=SKUEV0058","Odkaz")</f>
        <v>Odkaz</v>
      </c>
      <c r="F51" s="44" t="str">
        <f>HYPERLINK("https://natura2000.sopsr.sk/wp-content/uploads/natura/legislativa/uev/ciele/SKUEV0058.docx","Spracované")</f>
        <v>Spracované</v>
      </c>
      <c r="G51" s="10" t="s">
        <v>10</v>
      </c>
      <c r="H51" s="10" t="s">
        <v>11</v>
      </c>
      <c r="I51" s="9" t="s">
        <v>127</v>
      </c>
      <c r="J51" s="10" t="s">
        <v>131</v>
      </c>
      <c r="K51" s="38">
        <v>100</v>
      </c>
    </row>
    <row r="52" spans="1:11" x14ac:dyDescent="0.25">
      <c r="A52" s="6" t="s">
        <v>132</v>
      </c>
      <c r="B52" s="36" t="s">
        <v>133</v>
      </c>
      <c r="C52" s="7" t="str">
        <f>HYPERLINK("https://data.sopsr.sk/chranene-objekty/chranene-uzemia/detail/SKUEV0059","Jelšie")</f>
        <v>Jelšie</v>
      </c>
      <c r="D52" s="33">
        <v>36.721899999999998</v>
      </c>
      <c r="E52" s="44" t="str">
        <f>HYPERLINK("https://natura2000.sopsr.sk/lokality/uev/lokality-uev/?uev=SKUEV0059","Odkaz")</f>
        <v>Odkaz</v>
      </c>
      <c r="F52" s="44" t="str">
        <f>HYPERLINK("https://natura2000.sopsr.sk/wp-content/uploads/natura/legislativa/uev/ciele/SKUEV0059.docx","Spracované")</f>
        <v>Spracované</v>
      </c>
      <c r="G52" s="8" t="s">
        <v>23</v>
      </c>
      <c r="H52" s="10" t="s">
        <v>11</v>
      </c>
      <c r="I52" s="9" t="s">
        <v>127</v>
      </c>
      <c r="J52" s="10" t="s">
        <v>131</v>
      </c>
      <c r="K52" s="38">
        <v>100</v>
      </c>
    </row>
    <row r="53" spans="1:11" x14ac:dyDescent="0.25">
      <c r="A53" s="6" t="s">
        <v>134</v>
      </c>
      <c r="B53" s="36" t="s">
        <v>135</v>
      </c>
      <c r="C53" s="7" t="str">
        <f>HYPERLINK("https://data.sopsr.sk/chranene-objekty/chranene-uzemia/detail/SKUEV0060","Chraste")</f>
        <v>Chraste</v>
      </c>
      <c r="D53" s="33">
        <v>15.8041</v>
      </c>
      <c r="E53" s="44" t="str">
        <f>HYPERLINK("https://natura2000.sopsr.sk/lokality/uev/lokality-uev/?uev=SKUEV0060","Odkaz")</f>
        <v>Odkaz</v>
      </c>
      <c r="F53" s="44" t="str">
        <f>HYPERLINK("https://natura2000.sopsr.sk/wp-content/uploads/natura/legislativa/uev/ciele/SKUEV0060.docx","Spracované")</f>
        <v>Spracované</v>
      </c>
      <c r="G53" s="10" t="s">
        <v>10</v>
      </c>
      <c r="H53" s="10" t="s">
        <v>11</v>
      </c>
      <c r="I53" s="9" t="s">
        <v>127</v>
      </c>
      <c r="J53" s="10" t="s">
        <v>131</v>
      </c>
      <c r="K53" s="38">
        <v>100</v>
      </c>
    </row>
    <row r="54" spans="1:11" ht="24" customHeight="1" x14ac:dyDescent="0.25">
      <c r="A54" s="6" t="s">
        <v>136</v>
      </c>
      <c r="B54" s="36" t="s">
        <v>137</v>
      </c>
      <c r="C54" s="7" t="str">
        <f>HYPERLINK("https://data.sopsr.sk/chranene-objekty/chranene-uzemia/detail/SKUEV0061","Demänovská slatina")</f>
        <v>Demänovská slatina</v>
      </c>
      <c r="D54" s="33">
        <v>1.6664000000000001</v>
      </c>
      <c r="E54" s="44" t="str">
        <f>HYPERLINK("https://natura2000.sopsr.sk/lokality/uev/lokality-uev/?uev=SKUEV0061","Odkaz")</f>
        <v>Odkaz</v>
      </c>
      <c r="F54" s="44" t="str">
        <f>HYPERLINK("https://natura2000.sopsr.sk/wp-content/uploads/natura/legislativa/uev/ciele/SKUEV0061.docx","Spracované")</f>
        <v>Spracované</v>
      </c>
      <c r="G54" s="8" t="s">
        <v>23</v>
      </c>
      <c r="H54" s="10" t="s">
        <v>11</v>
      </c>
      <c r="I54" s="9" t="s">
        <v>127</v>
      </c>
      <c r="J54" s="10" t="s">
        <v>131</v>
      </c>
      <c r="K54" s="38">
        <v>100</v>
      </c>
    </row>
    <row r="55" spans="1:11" x14ac:dyDescent="0.25">
      <c r="A55" s="6" t="s">
        <v>138</v>
      </c>
      <c r="B55" s="36" t="s">
        <v>139</v>
      </c>
      <c r="C55" s="7" t="str">
        <f>HYPERLINK("https://data.sopsr.sk/chranene-objekty/chranene-uzemia/detail/SKUEV0062","Príboj")</f>
        <v>Príboj</v>
      </c>
      <c r="D55" s="33">
        <v>10.031599999999999</v>
      </c>
      <c r="E55" s="44" t="str">
        <f>HYPERLINK("https://natura2000.sopsr.sk/lokality/uev/lokality-uev/?uev=SKUEV0062","Odkaz")</f>
        <v>Odkaz</v>
      </c>
      <c r="F55" s="44" t="str">
        <f>HYPERLINK("https://natura2000.sopsr.sk/wp-content/uploads/natura/legislativa/uev/ciele/SKUEV0062.docx","Spracované")</f>
        <v>Spracované</v>
      </c>
      <c r="G55" s="8" t="s">
        <v>140</v>
      </c>
      <c r="H55" s="10" t="s">
        <v>11</v>
      </c>
      <c r="I55" s="10" t="s">
        <v>61</v>
      </c>
      <c r="J55" s="10" t="s">
        <v>131</v>
      </c>
      <c r="K55" s="38">
        <v>100</v>
      </c>
    </row>
    <row r="56" spans="1:11" ht="27.75" customHeight="1" x14ac:dyDescent="0.25">
      <c r="A56" s="6" t="s">
        <v>141</v>
      </c>
      <c r="B56" s="36" t="s">
        <v>142</v>
      </c>
      <c r="C56" s="7" t="str">
        <f>HYPERLINK("https://data.sopsr.sk/chranene-objekty/chranene-uzemia/detail/SKUEV0063","Ublianka")</f>
        <v>Ublianka</v>
      </c>
      <c r="D56" s="33">
        <v>24.923400000000001</v>
      </c>
      <c r="E56" s="44" t="str">
        <f>HYPERLINK("https://natura2000.sopsr.sk/lokality/uev/lokality-uev/?uev=SKUEV0063","Odkaz")</f>
        <v>Odkaz</v>
      </c>
      <c r="F56" s="44" t="str">
        <f>HYPERLINK("https://natura2000.sopsr.sk/wp-content/uploads/natura/legislativa/uev/ciele/SKUEV0063.docx","Spracované")</f>
        <v>Spracované</v>
      </c>
      <c r="G56" s="13" t="s">
        <v>10</v>
      </c>
      <c r="H56" s="9" t="s">
        <v>11</v>
      </c>
      <c r="I56" s="9" t="s">
        <v>55</v>
      </c>
      <c r="J56" s="10" t="s">
        <v>143</v>
      </c>
      <c r="K56" s="38">
        <v>0</v>
      </c>
    </row>
    <row r="57" spans="1:11" ht="30.75" customHeight="1" x14ac:dyDescent="0.25">
      <c r="A57" s="6" t="s">
        <v>144</v>
      </c>
      <c r="B57" s="36" t="s">
        <v>145</v>
      </c>
      <c r="C57" s="7" t="str">
        <f>HYPERLINK("https://data.sopsr.sk/chranene-objekty/chranene-uzemia/detail/SKUEV0064","Bratislavské luhy")</f>
        <v>Bratislavské luhy</v>
      </c>
      <c r="D57" s="33">
        <v>916.07799999999997</v>
      </c>
      <c r="E57" s="44" t="str">
        <f>HYPERLINK("https://natura2000.sopsr.sk/lokality/uev/lokality-uev/?uev=SKUEV0064","Odkaz")</f>
        <v>Odkaz</v>
      </c>
      <c r="F57" s="44" t="str">
        <f>HYPERLINK("https://natura2000.sopsr.sk/wp-content/uploads/natura/legislativa/uev/ciele/SKUEV0064.docx","Spracované")</f>
        <v>Spracované</v>
      </c>
      <c r="G57" s="10" t="s">
        <v>10</v>
      </c>
      <c r="H57" s="9" t="s">
        <v>20</v>
      </c>
      <c r="I57" s="10" t="s">
        <v>146</v>
      </c>
      <c r="J57" s="10" t="s">
        <v>40</v>
      </c>
      <c r="K57" s="38">
        <v>100</v>
      </c>
    </row>
    <row r="58" spans="1:11" x14ac:dyDescent="0.25">
      <c r="A58" s="6" t="s">
        <v>147</v>
      </c>
      <c r="B58" s="36" t="s">
        <v>148</v>
      </c>
      <c r="C58" s="7" t="str">
        <f>HYPERLINK("https://data.sopsr.sk/chranene-objekty/chranene-uzemia/detail/SKUEV0065","Marcelovské piesky")</f>
        <v>Marcelovské piesky</v>
      </c>
      <c r="D58" s="33">
        <v>74.700100000000006</v>
      </c>
      <c r="E58" s="44" t="str">
        <f>HYPERLINK("https://natura2000.sopsr.sk/lokality/uev/lokality-uev/?uev=SKUEV0065","Odkaz")</f>
        <v>Odkaz</v>
      </c>
      <c r="F58" s="44" t="str">
        <f>HYPERLINK("https://natura2000.sopsr.sk/wp-content/uploads/natura/legislativa/uev/ciele/SKUEV0065.docx","Spracované")</f>
        <v>Spracované</v>
      </c>
      <c r="G58" s="12" t="s">
        <v>23</v>
      </c>
      <c r="H58" s="9" t="s">
        <v>20</v>
      </c>
      <c r="I58" s="9" t="s">
        <v>58</v>
      </c>
      <c r="J58" s="10" t="s">
        <v>40</v>
      </c>
      <c r="K58" s="38">
        <v>100</v>
      </c>
    </row>
    <row r="59" spans="1:11" x14ac:dyDescent="0.25">
      <c r="A59" s="6" t="s">
        <v>149</v>
      </c>
      <c r="B59" s="36" t="s">
        <v>150</v>
      </c>
      <c r="C59" s="7" t="str">
        <f>HYPERLINK("https://data.sopsr.sk/chranene-objekty/chranene-uzemia/detail/SKUEV0066","Kamenínske slaniská")</f>
        <v>Kamenínske slaniská</v>
      </c>
      <c r="D59" s="33">
        <v>120.4349</v>
      </c>
      <c r="E59" s="44" t="str">
        <f>HYPERLINK("https://natura2000.sopsr.sk/lokality/uev/lokality-uev/?uev=SKUEV0066","Odkaz")</f>
        <v>Odkaz</v>
      </c>
      <c r="F59" s="44" t="str">
        <f>HYPERLINK("https://natura2000.sopsr.sk/wp-content/uploads/natura/legislativa/uev/ciele/SKUEV0066.docx","Spracované")</f>
        <v>Spracované</v>
      </c>
      <c r="G59" s="12" t="s">
        <v>78</v>
      </c>
      <c r="H59" s="9" t="s">
        <v>20</v>
      </c>
      <c r="I59" s="9" t="s">
        <v>58</v>
      </c>
      <c r="J59" s="10" t="s">
        <v>40</v>
      </c>
      <c r="K59" s="38">
        <v>100</v>
      </c>
    </row>
    <row r="60" spans="1:11" x14ac:dyDescent="0.25">
      <c r="A60" s="6" t="s">
        <v>151</v>
      </c>
      <c r="B60" s="36" t="s">
        <v>152</v>
      </c>
      <c r="C60" s="7" t="str">
        <f>HYPERLINK("https://data.sopsr.sk/chranene-objekty/chranene-uzemia/detail/SKUEV0067","Čenkov")</f>
        <v>Čenkov</v>
      </c>
      <c r="D60" s="33">
        <v>254.86420000000001</v>
      </c>
      <c r="E60" s="44" t="str">
        <f>HYPERLINK("https://natura2000.sopsr.sk/lokality/uev/lokality-uev/?uev=SKUEV0067","Odkaz")</f>
        <v>Odkaz</v>
      </c>
      <c r="F60" s="44" t="str">
        <f>HYPERLINK("https://natura2000.sopsr.sk/wp-content/uploads/natura/legislativa/uev/ciele/SKUEV0067.docx","Spracované")</f>
        <v>Spracované</v>
      </c>
      <c r="G60" s="12" t="s">
        <v>23</v>
      </c>
      <c r="H60" s="9" t="s">
        <v>20</v>
      </c>
      <c r="I60" s="9" t="s">
        <v>58</v>
      </c>
      <c r="J60" s="10" t="s">
        <v>40</v>
      </c>
      <c r="K60" s="38">
        <v>100</v>
      </c>
    </row>
    <row r="61" spans="1:11" x14ac:dyDescent="0.25">
      <c r="A61" s="6" t="s">
        <v>153</v>
      </c>
      <c r="B61" s="36" t="s">
        <v>154</v>
      </c>
      <c r="C61" s="7" t="str">
        <f>HYPERLINK("https://data.sopsr.sk/chranene-objekty/chranene-uzemia/detail/SKUEV0068","Jurský Chlm")</f>
        <v>Jurský Chlm</v>
      </c>
      <c r="D61" s="33">
        <v>104.5175</v>
      </c>
      <c r="E61" s="44" t="str">
        <f>HYPERLINK("https://natura2000.sopsr.sk/lokality/uev/lokality-uev/?uev=SKUEV0068","Odkaz")</f>
        <v>Odkaz</v>
      </c>
      <c r="F61" s="44" t="str">
        <f>HYPERLINK("https://natura2000.sopsr.sk/wp-content/uploads/natura/legislativa/uev/ciele/SKUEV0068.docx","Spracované")</f>
        <v>Spracované</v>
      </c>
      <c r="G61" s="12" t="s">
        <v>23</v>
      </c>
      <c r="H61" s="9" t="s">
        <v>20</v>
      </c>
      <c r="I61" s="9" t="s">
        <v>58</v>
      </c>
      <c r="J61" s="10" t="s">
        <v>40</v>
      </c>
      <c r="K61" s="38">
        <v>100</v>
      </c>
    </row>
    <row r="62" spans="1:11" x14ac:dyDescent="0.25">
      <c r="A62" s="6" t="s">
        <v>155</v>
      </c>
      <c r="B62" s="36" t="s">
        <v>156</v>
      </c>
      <c r="C62" s="7" t="str">
        <f>HYPERLINK("https://data.sopsr.sk/chranene-objekty/chranene-uzemia/detail/SKUEV0069","Búčske slanisko")</f>
        <v>Búčske slanisko</v>
      </c>
      <c r="D62" s="33">
        <v>44.318100000000001</v>
      </c>
      <c r="E62" s="44" t="str">
        <f>HYPERLINK("https://natura2000.sopsr.sk/lokality/uev/lokality-uev/?uev=SKUEV0069","Odkaz")</f>
        <v>Odkaz</v>
      </c>
      <c r="F62" s="44" t="str">
        <f>HYPERLINK("https://natura2000.sopsr.sk/wp-content/uploads/natura/legislativa/uev/ciele/SKUEV0069.docx","Spracované")</f>
        <v>Spracované</v>
      </c>
      <c r="G62" s="10" t="s">
        <v>10</v>
      </c>
      <c r="H62" s="9" t="s">
        <v>20</v>
      </c>
      <c r="I62" s="9" t="s">
        <v>58</v>
      </c>
      <c r="J62" s="10" t="s">
        <v>40</v>
      </c>
      <c r="K62" s="38">
        <v>32</v>
      </c>
    </row>
    <row r="63" spans="1:11" x14ac:dyDescent="0.25">
      <c r="A63" s="6" t="s">
        <v>157</v>
      </c>
      <c r="B63" s="36" t="s">
        <v>158</v>
      </c>
      <c r="C63" s="7" t="str">
        <f>HYPERLINK("https://data.sopsr.sk/chranene-objekty/chranene-uzemia/detail/SKUEV0070","Martovská mokraď")</f>
        <v>Martovská mokraď</v>
      </c>
      <c r="D63" s="33">
        <v>39.872599999999998</v>
      </c>
      <c r="E63" s="44" t="str">
        <f>HYPERLINK("https://natura2000.sopsr.sk/lokality/uev/lokality-uev/?uev=SKUEV0070","Odkaz")</f>
        <v>Odkaz</v>
      </c>
      <c r="F63" s="44" t="str">
        <f>HYPERLINK("https://natura2000.sopsr.sk/wp-content/uploads/natura/legislativa/uev/ciele/SKUEV0070.docx","Spracované")</f>
        <v>Spracované</v>
      </c>
      <c r="G63" s="10" t="s">
        <v>10</v>
      </c>
      <c r="H63" s="9" t="s">
        <v>20</v>
      </c>
      <c r="I63" s="9" t="s">
        <v>58</v>
      </c>
      <c r="J63" s="10" t="s">
        <v>40</v>
      </c>
      <c r="K63" s="38">
        <v>30</v>
      </c>
    </row>
    <row r="64" spans="1:11" x14ac:dyDescent="0.25">
      <c r="A64" s="6" t="s">
        <v>159</v>
      </c>
      <c r="B64" s="36" t="s">
        <v>160</v>
      </c>
      <c r="C64" s="7" t="str">
        <f>HYPERLINK("https://data.sopsr.sk/chranene-objekty/chranene-uzemia/detail/SKUEV0071","Abov")</f>
        <v>Abov</v>
      </c>
      <c r="D64" s="33">
        <v>21.127099999999999</v>
      </c>
      <c r="E64" s="44" t="str">
        <f>HYPERLINK("https://natura2000.sopsr.sk/lokality/uev/lokality-uev/?uev=SKUEV0071","Odkaz")</f>
        <v>Odkaz</v>
      </c>
      <c r="F64" s="44" t="str">
        <f>HYPERLINK("https://natura2000.sopsr.sk/wp-content/uploads/natura/legislativa/uev/ciele/SKUEV0071.docx","Spracované")</f>
        <v>Spracované</v>
      </c>
      <c r="G64" s="10" t="s">
        <v>10</v>
      </c>
      <c r="H64" s="9" t="s">
        <v>20</v>
      </c>
      <c r="I64" s="9" t="s">
        <v>58</v>
      </c>
      <c r="J64" s="10" t="s">
        <v>40</v>
      </c>
      <c r="K64" s="38">
        <v>0</v>
      </c>
    </row>
    <row r="65" spans="1:11" x14ac:dyDescent="0.25">
      <c r="A65" s="6" t="s">
        <v>161</v>
      </c>
      <c r="B65" s="36" t="s">
        <v>162</v>
      </c>
      <c r="C65" s="7" t="str">
        <f>HYPERLINK("https://data.sopsr.sk/chranene-objekty/chranene-uzemia/detail/SKUEV0072","Detvice")</f>
        <v>Detvice</v>
      </c>
      <c r="D65" s="33">
        <v>84.216999999999999</v>
      </c>
      <c r="E65" s="44" t="str">
        <f>HYPERLINK("https://natura2000.sopsr.sk/lokality/uev/lokality-uev/?uev=SKUEV0072","Odkaz")</f>
        <v>Odkaz</v>
      </c>
      <c r="F65" s="44" t="str">
        <f>HYPERLINK("https://natura2000.sopsr.sk/wp-content/uploads/natura/legislativa/uev/ciele/SKUEV0072.docx","Spracované")</f>
        <v>Spracované</v>
      </c>
      <c r="G65" s="10" t="s">
        <v>10</v>
      </c>
      <c r="H65" s="9" t="s">
        <v>20</v>
      </c>
      <c r="I65" s="9" t="s">
        <v>58</v>
      </c>
      <c r="J65" s="10" t="s">
        <v>40</v>
      </c>
      <c r="K65" s="38">
        <v>0</v>
      </c>
    </row>
    <row r="66" spans="1:11" x14ac:dyDescent="0.25">
      <c r="A66" s="6" t="s">
        <v>163</v>
      </c>
      <c r="B66" s="36" t="s">
        <v>164</v>
      </c>
      <c r="C66" s="7" t="str">
        <f>HYPERLINK("https://data.sopsr.sk/chranene-objekty/chranene-uzemia/detail/SKUEV0073","Listové jazero")</f>
        <v>Listové jazero</v>
      </c>
      <c r="D66" s="33">
        <v>41.5884</v>
      </c>
      <c r="E66" s="44" t="str">
        <f>HYPERLINK("https://natura2000.sopsr.sk/lokality/uev/lokality-uev/?uev=SKUEV0073","Odkaz")</f>
        <v>Odkaz</v>
      </c>
      <c r="F66" s="44" t="str">
        <f>HYPERLINK("https://natura2000.sopsr.sk/wp-content/uploads/natura/legislativa/uev/ciele/SKUEV0073.docx","Spracované")</f>
        <v>Spracované</v>
      </c>
      <c r="G66" s="10" t="s">
        <v>10</v>
      </c>
      <c r="H66" s="9" t="s">
        <v>20</v>
      </c>
      <c r="I66" s="9" t="s">
        <v>58</v>
      </c>
      <c r="J66" s="10" t="s">
        <v>40</v>
      </c>
      <c r="K66" s="38">
        <v>100</v>
      </c>
    </row>
    <row r="67" spans="1:11" x14ac:dyDescent="0.25">
      <c r="A67" s="6" t="s">
        <v>165</v>
      </c>
      <c r="B67" s="36" t="s">
        <v>166</v>
      </c>
      <c r="C67" s="7" t="str">
        <f>HYPERLINK("https://data.sopsr.sk/chranene-objekty/chranene-uzemia/detail/SKUEV0074","Dubník")</f>
        <v>Dubník</v>
      </c>
      <c r="D67" s="33">
        <v>171.8297</v>
      </c>
      <c r="E67" s="44" t="str">
        <f>HYPERLINK("https://natura2000.sopsr.sk/lokality/uev/lokality-uev/?uev=SKUEV0074","Odkaz")</f>
        <v>Odkaz</v>
      </c>
      <c r="F67" s="44" t="str">
        <f>HYPERLINK("https://natura2000.sopsr.sk/wp-content/uploads/natura/legislativa/uev/ciele/SKUEV0074.docx","Spracované")</f>
        <v>Spracované</v>
      </c>
      <c r="G67" s="10" t="s">
        <v>10</v>
      </c>
      <c r="H67" s="9" t="s">
        <v>20</v>
      </c>
      <c r="I67" s="9" t="s">
        <v>167</v>
      </c>
      <c r="J67" s="10" t="s">
        <v>40</v>
      </c>
      <c r="K67" s="38">
        <v>100</v>
      </c>
    </row>
    <row r="68" spans="1:11" x14ac:dyDescent="0.25">
      <c r="A68" s="6" t="s">
        <v>168</v>
      </c>
      <c r="B68" s="36" t="s">
        <v>169</v>
      </c>
      <c r="C68" s="7" t="str">
        <f>HYPERLINK("https://data.sopsr.sk/chranene-objekty/chranene-uzemia/detail/SKUEV0075","Klátovské rameno")</f>
        <v>Klátovské rameno</v>
      </c>
      <c r="D68" s="33">
        <v>363.30270000000002</v>
      </c>
      <c r="E68" s="44" t="str">
        <f>HYPERLINK("https://natura2000.sopsr.sk/lokality/uev/lokality-uev/?uev=SKUEV0075","Odkaz")</f>
        <v>Odkaz</v>
      </c>
      <c r="F68" s="44" t="str">
        <f>HYPERLINK("https://natura2000.sopsr.sk/wp-content/uploads/natura/legislativa/uev/ciele/SKUEV0075.docx","Spracované")</f>
        <v>Spracované</v>
      </c>
      <c r="G68" s="10" t="s">
        <v>10</v>
      </c>
      <c r="H68" s="9" t="s">
        <v>20</v>
      </c>
      <c r="I68" s="9" t="s">
        <v>167</v>
      </c>
      <c r="J68" s="10" t="s">
        <v>40</v>
      </c>
      <c r="K68" s="38">
        <v>84</v>
      </c>
    </row>
    <row r="69" spans="1:11" x14ac:dyDescent="0.25">
      <c r="A69" s="6" t="s">
        <v>170</v>
      </c>
      <c r="B69" s="36" t="s">
        <v>171</v>
      </c>
      <c r="C69" s="7" t="str">
        <f>HYPERLINK("https://data.sopsr.sk/chranene-objekty/chranene-uzemia/detail/SKUEV0076","Bokrošské slanisko")</f>
        <v>Bokrošské slanisko</v>
      </c>
      <c r="D69" s="33">
        <v>12.278</v>
      </c>
      <c r="E69" s="44" t="str">
        <f>HYPERLINK("https://natura2000.sopsr.sk/lokality/uev/lokality-uev/?uev=SKUEV0076","Odkaz")</f>
        <v>Odkaz</v>
      </c>
      <c r="F69" s="44" t="str">
        <f>HYPERLINK("https://natura2000.sopsr.sk/wp-content/uploads/natura/legislativa/uev/ciele/SKUEV0076.docx","Spracované")</f>
        <v>Spracované</v>
      </c>
      <c r="G69" s="8" t="s">
        <v>23</v>
      </c>
      <c r="H69" s="9" t="s">
        <v>20</v>
      </c>
      <c r="I69" s="9" t="s">
        <v>58</v>
      </c>
      <c r="J69" s="10" t="s">
        <v>40</v>
      </c>
      <c r="K69" s="38">
        <v>100</v>
      </c>
    </row>
    <row r="70" spans="1:11" x14ac:dyDescent="0.25">
      <c r="A70" s="6" t="s">
        <v>172</v>
      </c>
      <c r="B70" s="36" t="s">
        <v>173</v>
      </c>
      <c r="C70" s="7" t="str">
        <f>HYPERLINK("https://data.sopsr.sk/chranene-objekty/chranene-uzemia/detail/SKUEV0077","Dunajské trstiny")</f>
        <v>Dunajské trstiny</v>
      </c>
      <c r="D70" s="33">
        <v>200.42080000000001</v>
      </c>
      <c r="E70" s="44" t="str">
        <f>HYPERLINK("https://natura2000.sopsr.sk/lokality/uev/lokality-uev/?uev=SKUEV0077","Odkaz")</f>
        <v>Odkaz</v>
      </c>
      <c r="F70" s="44" t="str">
        <f>HYPERLINK("https://natura2000.sopsr.sk/wp-content/uploads/natura/legislativa/uev/ciele/SKUEV0077.docx","Spracované")</f>
        <v>Spracované</v>
      </c>
      <c r="G70" s="10" t="s">
        <v>10</v>
      </c>
      <c r="H70" s="9" t="s">
        <v>20</v>
      </c>
      <c r="I70" s="9" t="s">
        <v>58</v>
      </c>
      <c r="J70" s="10" t="s">
        <v>40</v>
      </c>
      <c r="K70" s="38">
        <v>51</v>
      </c>
    </row>
    <row r="71" spans="1:11" x14ac:dyDescent="0.25">
      <c r="A71" s="6" t="s">
        <v>174</v>
      </c>
      <c r="B71" s="36" t="s">
        <v>175</v>
      </c>
      <c r="C71" s="7" t="str">
        <f>HYPERLINK("https://data.sopsr.sk/chranene-objekty/chranene-uzemia/detail/SKUEV0078","Mostová")</f>
        <v>Mostová</v>
      </c>
      <c r="D71" s="33">
        <v>23.530200000000001</v>
      </c>
      <c r="E71" s="44" t="str">
        <f>HYPERLINK("https://natura2000.sopsr.sk/lokality/uev/lokality-uev/?uev=SKUEV0078","Odkaz")</f>
        <v>Odkaz</v>
      </c>
      <c r="F71" s="44" t="str">
        <f>HYPERLINK("https://natura2000.sopsr.sk/wp-content/uploads/natura/legislativa/uev/ciele/SKUEV0078.docx","Spracované")</f>
        <v>Spracované</v>
      </c>
      <c r="G71" s="12" t="s">
        <v>23</v>
      </c>
      <c r="H71" s="9" t="s">
        <v>20</v>
      </c>
      <c r="I71" s="9" t="s">
        <v>58</v>
      </c>
      <c r="J71" s="10" t="s">
        <v>40</v>
      </c>
      <c r="K71" s="38">
        <v>100</v>
      </c>
    </row>
    <row r="72" spans="1:11" x14ac:dyDescent="0.25">
      <c r="A72" s="6" t="s">
        <v>176</v>
      </c>
      <c r="B72" s="36" t="s">
        <v>177</v>
      </c>
      <c r="C72" s="7" t="str">
        <f>HYPERLINK("https://data.sopsr.sk/chranene-objekty/chranene-uzemia/detail/SKUEV0079","Horný háj")</f>
        <v>Horný háj</v>
      </c>
      <c r="D72" s="33">
        <v>74.1447</v>
      </c>
      <c r="E72" s="44" t="str">
        <f>HYPERLINK("https://natura2000.sopsr.sk/lokality/uev/lokality-uev/?uev=SKUEV0079","Odkaz")</f>
        <v>Odkaz</v>
      </c>
      <c r="F72" s="44" t="str">
        <f>HYPERLINK("https://natura2000.sopsr.sk/wp-content/uploads/natura/legislativa/uev/ciele/SKUEV0079.docx","Spracované")</f>
        <v>Spracované</v>
      </c>
      <c r="G72" s="10" t="s">
        <v>10</v>
      </c>
      <c r="H72" s="9" t="s">
        <v>20</v>
      </c>
      <c r="I72" s="9" t="s">
        <v>58</v>
      </c>
      <c r="J72" s="10" t="s">
        <v>40</v>
      </c>
      <c r="K72" s="38">
        <v>0</v>
      </c>
    </row>
    <row r="73" spans="1:11" x14ac:dyDescent="0.25">
      <c r="A73" s="6" t="s">
        <v>178</v>
      </c>
      <c r="B73" s="36" t="s">
        <v>179</v>
      </c>
      <c r="C73" s="7" t="str">
        <f>HYPERLINK("https://data.sopsr.sk/chranene-objekty/chranene-uzemia/detail/SKUEV0080","Juhásove slance")</f>
        <v>Juhásove slance</v>
      </c>
      <c r="D73" s="33">
        <v>44.891599999999997</v>
      </c>
      <c r="E73" s="44" t="str">
        <f>HYPERLINK("https://natura2000.sopsr.sk/lokality/uev/lokality-uev/?uev=SKUEV0080","Odkaz")</f>
        <v>Odkaz</v>
      </c>
      <c r="F73" s="44" t="str">
        <f>HYPERLINK("https://natura2000.sopsr.sk/wp-content/uploads/natura/legislativa/uev/ciele/SKUEV0080.docx","Spracované")</f>
        <v>Spracované</v>
      </c>
      <c r="G73" s="8" t="s">
        <v>23</v>
      </c>
      <c r="H73" s="9" t="s">
        <v>20</v>
      </c>
      <c r="I73" s="9" t="s">
        <v>58</v>
      </c>
      <c r="J73" s="10" t="s">
        <v>40</v>
      </c>
      <c r="K73" s="38">
        <v>100</v>
      </c>
    </row>
    <row r="74" spans="1:11" x14ac:dyDescent="0.25">
      <c r="A74" s="6" t="s">
        <v>180</v>
      </c>
      <c r="B74" s="36" t="s">
        <v>181</v>
      </c>
      <c r="C74" s="7" t="str">
        <f>HYPERLINK("https://data.sopsr.sk/chranene-objekty/chranene-uzemia/detail/SKUEV0083","Eliášovský les")</f>
        <v>Eliášovský les</v>
      </c>
      <c r="D74" s="33">
        <v>30.6647</v>
      </c>
      <c r="E74" s="44" t="str">
        <f>HYPERLINK("https://natura2000.sopsr.sk/lokality/uev/lokality-uev/?uev=SKUEV0083","Odkaz")</f>
        <v>Odkaz</v>
      </c>
      <c r="F74" s="44" t="str">
        <f>HYPERLINK("https://natura2000.sopsr.sk/wp-content/uploads/natura/legislativa/uev/ciele/SKUEV0083.docx","Spracované")</f>
        <v>Spracované</v>
      </c>
      <c r="G74" s="10" t="s">
        <v>10</v>
      </c>
      <c r="H74" s="9" t="s">
        <v>20</v>
      </c>
      <c r="I74" s="9" t="s">
        <v>167</v>
      </c>
      <c r="J74" s="10" t="s">
        <v>40</v>
      </c>
      <c r="K74" s="38">
        <v>0</v>
      </c>
    </row>
    <row r="75" spans="1:11" x14ac:dyDescent="0.25">
      <c r="A75" s="6" t="s">
        <v>182</v>
      </c>
      <c r="B75" s="36" t="s">
        <v>183</v>
      </c>
      <c r="C75" s="7" t="str">
        <f>HYPERLINK("https://data.sopsr.sk/chranene-objekty/chranene-uzemia/detail/SKUEV0084","Zátoň")</f>
        <v>Zátoň</v>
      </c>
      <c r="D75" s="33">
        <v>84.671700000000001</v>
      </c>
      <c r="E75" s="44" t="str">
        <f>HYPERLINK("https://natura2000.sopsr.sk/lokality/uev/lokality-uev/?uev=SKUEV0084","Odkaz")</f>
        <v>Odkaz</v>
      </c>
      <c r="F75" s="44" t="str">
        <f>HYPERLINK("https://natura2000.sopsr.sk/wp-content/uploads/natura/legislativa/uev/ciele/SKUEV0084.docx","Spracované")</f>
        <v>Spracované</v>
      </c>
      <c r="G75" s="10" t="s">
        <v>10</v>
      </c>
      <c r="H75" s="9" t="s">
        <v>20</v>
      </c>
      <c r="I75" s="9" t="s">
        <v>184</v>
      </c>
      <c r="J75" s="10" t="s">
        <v>40</v>
      </c>
      <c r="K75" s="38">
        <v>0</v>
      </c>
    </row>
    <row r="76" spans="1:11" x14ac:dyDescent="0.25">
      <c r="A76" s="6" t="s">
        <v>185</v>
      </c>
      <c r="B76" s="36" t="s">
        <v>186</v>
      </c>
      <c r="C76" s="7" t="str">
        <f>HYPERLINK("https://data.sopsr.sk/chranene-objekty/chranene-uzemia/detail/SKUEV0085","Dolný háj")</f>
        <v>Dolný háj</v>
      </c>
      <c r="D76" s="33">
        <v>63.403599999999997</v>
      </c>
      <c r="E76" s="44" t="str">
        <f>HYPERLINK("https://natura2000.sopsr.sk/lokality/uev/lokality-uev/?uev=SKUEV0085","Odkaz")</f>
        <v>Odkaz</v>
      </c>
      <c r="F76" s="44" t="str">
        <f>HYPERLINK("https://natura2000.sopsr.sk/wp-content/uploads/natura/legislativa/uev/ciele/SKUEV0085.docx","Spracované")</f>
        <v>Spracované</v>
      </c>
      <c r="G76" s="10" t="s">
        <v>10</v>
      </c>
      <c r="H76" s="9" t="s">
        <v>20</v>
      </c>
      <c r="I76" s="9" t="s">
        <v>184</v>
      </c>
      <c r="J76" s="10" t="s">
        <v>40</v>
      </c>
      <c r="K76" s="38">
        <v>10</v>
      </c>
    </row>
    <row r="77" spans="1:11" x14ac:dyDescent="0.25">
      <c r="A77" s="6" t="s">
        <v>187</v>
      </c>
      <c r="B77" s="36" t="s">
        <v>188</v>
      </c>
      <c r="C77" s="7" t="str">
        <f>HYPERLINK("https://data.sopsr.sk/chranene-objekty/chranene-uzemia/detail/SKUEV0086","Krivé hrabiny")</f>
        <v>Krivé hrabiny</v>
      </c>
      <c r="D77" s="33">
        <v>83.228700000000003</v>
      </c>
      <c r="E77" s="44" t="str">
        <f>HYPERLINK("https://natura2000.sopsr.sk/lokality/uev/lokality-uev/?uev=SKUEV0086","Odkaz")</f>
        <v>Odkaz</v>
      </c>
      <c r="F77" s="44" t="str">
        <f>HYPERLINK("https://natura2000.sopsr.sk/wp-content/uploads/natura/legislativa/uev/ciele/SKUEV0086.docx","Spracované")</f>
        <v>Spracované</v>
      </c>
      <c r="G77" s="10" t="s">
        <v>10</v>
      </c>
      <c r="H77" s="9" t="s">
        <v>20</v>
      </c>
      <c r="I77" s="9" t="s">
        <v>58</v>
      </c>
      <c r="J77" s="10" t="s">
        <v>40</v>
      </c>
      <c r="K77" s="38">
        <v>0</v>
      </c>
    </row>
    <row r="78" spans="1:11" x14ac:dyDescent="0.25">
      <c r="A78" s="6" t="s">
        <v>189</v>
      </c>
      <c r="B78" s="36" t="s">
        <v>190</v>
      </c>
      <c r="C78" s="7" t="str">
        <f>HYPERLINK("https://data.sopsr.sk/chranene-objekty/chranene-uzemia/detail/SKUEV0087","Osminy")</f>
        <v>Osminy</v>
      </c>
      <c r="D78" s="33">
        <v>98.870599999999996</v>
      </c>
      <c r="E78" s="44" t="str">
        <f>HYPERLINK("https://natura2000.sopsr.sk/lokality/uev/lokality-uev/?uev=SKUEV0087","Odkaz")</f>
        <v>Odkaz</v>
      </c>
      <c r="F78" s="44" t="str">
        <f>HYPERLINK("https://natura2000.sopsr.sk/wp-content/uploads/natura/legislativa/uev/ciele/SKUEV0087.docx","Spracované")</f>
        <v>Spracované</v>
      </c>
      <c r="G78" s="10" t="s">
        <v>10</v>
      </c>
      <c r="H78" s="9" t="s">
        <v>20</v>
      </c>
      <c r="I78" s="9" t="s">
        <v>58</v>
      </c>
      <c r="J78" s="10" t="s">
        <v>40</v>
      </c>
      <c r="K78" s="38">
        <v>0</v>
      </c>
    </row>
    <row r="79" spans="1:11" x14ac:dyDescent="0.25">
      <c r="A79" s="6" t="s">
        <v>191</v>
      </c>
      <c r="B79" s="36" t="s">
        <v>192</v>
      </c>
      <c r="C79" s="7" t="str">
        <f>HYPERLINK("https://data.sopsr.sk/chranene-objekty/chranene-uzemia/detail/SKUEV0088","Síky")</f>
        <v>Síky</v>
      </c>
      <c r="D79" s="33">
        <v>40.338999999999999</v>
      </c>
      <c r="E79" s="44" t="str">
        <f>HYPERLINK("https://natura2000.sopsr.sk/lokality/uev/lokality-uev/?uev=SKUEV0088","Odkaz")</f>
        <v>Odkaz</v>
      </c>
      <c r="F79" s="44" t="str">
        <f>HYPERLINK("https://natura2000.sopsr.sk/wp-content/uploads/natura/legislativa/uev/ciele/SKUEV0088.docx","Spracované")</f>
        <v>Spracované</v>
      </c>
      <c r="G79" s="12" t="s">
        <v>23</v>
      </c>
      <c r="H79" s="9" t="s">
        <v>20</v>
      </c>
      <c r="I79" s="9" t="s">
        <v>58</v>
      </c>
      <c r="J79" s="10" t="s">
        <v>40</v>
      </c>
      <c r="K79" s="38">
        <v>100</v>
      </c>
    </row>
    <row r="80" spans="1:11" x14ac:dyDescent="0.25">
      <c r="A80" s="6" t="s">
        <v>193</v>
      </c>
      <c r="B80" s="36" t="s">
        <v>194</v>
      </c>
      <c r="C80" s="7" t="str">
        <f>HYPERLINK("https://data.sopsr.sk/chranene-objekty/chranene-uzemia/detail/SKUEV0089","Martinský les")</f>
        <v>Martinský les</v>
      </c>
      <c r="D80" s="33">
        <v>999.30089999999996</v>
      </c>
      <c r="E80" s="44" t="str">
        <f>HYPERLINK("https://natura2000.sopsr.sk/lokality/uev/lokality-uev/?uev=SKUEV0089","Odkaz")</f>
        <v>Odkaz</v>
      </c>
      <c r="F80" s="44" t="str">
        <f>HYPERLINK("https://natura2000.sopsr.sk/wp-content/uploads/natura/legislativa/uev/ciele/SKUEV0089.docx","Spracované")</f>
        <v>Spracované</v>
      </c>
      <c r="G80" s="10" t="s">
        <v>10</v>
      </c>
      <c r="H80" s="9" t="s">
        <v>20</v>
      </c>
      <c r="I80" s="10" t="s">
        <v>146</v>
      </c>
      <c r="J80" s="9" t="s">
        <v>225</v>
      </c>
      <c r="K80" s="38">
        <v>0</v>
      </c>
    </row>
    <row r="81" spans="1:11" x14ac:dyDescent="0.25">
      <c r="A81" s="6" t="s">
        <v>195</v>
      </c>
      <c r="B81" s="36" t="s">
        <v>196</v>
      </c>
      <c r="C81" s="7" t="str">
        <f>HYPERLINK("https://data.sopsr.sk/chranene-objekty/chranene-uzemia/detail/SKUEV0090","Dunajské luhy")</f>
        <v>Dunajské luhy</v>
      </c>
      <c r="D81" s="33">
        <v>5942.7812999999996</v>
      </c>
      <c r="E81" s="44" t="str">
        <f>HYPERLINK("https://natura2000.sopsr.sk/lokality/uev/lokality-uev/?uev=SKUEV0090","Odkaz")</f>
        <v>Odkaz</v>
      </c>
      <c r="F81" s="44" t="str">
        <f>HYPERLINK("https://natura2000.sopsr.sk/wp-content/uploads/natura/legislativa/uev/ciele/SKUEV0090.docx","Spracované")</f>
        <v>Spracované</v>
      </c>
      <c r="G81" s="10" t="s">
        <v>10</v>
      </c>
      <c r="H81" s="9" t="s">
        <v>20</v>
      </c>
      <c r="I81" s="9" t="s">
        <v>167</v>
      </c>
      <c r="J81" s="10" t="s">
        <v>40</v>
      </c>
      <c r="K81" s="38">
        <v>100</v>
      </c>
    </row>
    <row r="82" spans="1:11" x14ac:dyDescent="0.25">
      <c r="A82" s="6" t="s">
        <v>197</v>
      </c>
      <c r="B82" s="36" t="s">
        <v>198</v>
      </c>
      <c r="C82" s="7" t="str">
        <f>HYPERLINK("https://data.sopsr.sk/chranene-objekty/chranene-uzemia/detail/SKUEV0091","Ploská hora")</f>
        <v>Ploská hora</v>
      </c>
      <c r="D82" s="33">
        <v>112.25920000000001</v>
      </c>
      <c r="E82" s="44" t="str">
        <f>HYPERLINK("https://natura2000.sopsr.sk/lokality/uev/lokality-uev/?uev=SKUEV0091","Odkaz")</f>
        <v>Odkaz</v>
      </c>
      <c r="F82" s="44" t="str">
        <f>HYPERLINK("https://natura2000.sopsr.sk/wp-content/uploads/natura/legislativa/uev/ciele/SKUEV0091.docx","Spracované")</f>
        <v>Spracované</v>
      </c>
      <c r="G82" s="10" t="s">
        <v>10</v>
      </c>
      <c r="H82" s="9" t="s">
        <v>20</v>
      </c>
      <c r="I82" s="9" t="s">
        <v>58</v>
      </c>
      <c r="J82" s="10" t="s">
        <v>40</v>
      </c>
      <c r="K82" s="38">
        <v>0</v>
      </c>
    </row>
    <row r="83" spans="1:11" x14ac:dyDescent="0.25">
      <c r="A83" s="6" t="s">
        <v>199</v>
      </c>
      <c r="B83" s="36" t="s">
        <v>200</v>
      </c>
      <c r="C83" s="7" t="str">
        <f>HYPERLINK("https://data.sopsr.sk/chranene-objekty/chranene-uzemia/detail/SKUEV0092","Dolnovážske luhy")</f>
        <v>Dolnovážske luhy</v>
      </c>
      <c r="D83" s="33">
        <v>273.58890000000002</v>
      </c>
      <c r="E83" s="44" t="str">
        <f>HYPERLINK("https://natura2000.sopsr.sk/lokality/uev/lokality-uev/?uev=SKUEV0092","Odkaz")</f>
        <v>Odkaz</v>
      </c>
      <c r="F83" s="44" t="str">
        <f>HYPERLINK("https://natura2000.sopsr.sk/wp-content/uploads/natura/legislativa/uev/ciele/SKUEV0092.docx","Spracované")</f>
        <v>Spracované</v>
      </c>
      <c r="G83" s="10" t="s">
        <v>10</v>
      </c>
      <c r="H83" s="9" t="s">
        <v>20</v>
      </c>
      <c r="I83" s="9" t="s">
        <v>58</v>
      </c>
      <c r="J83" s="10" t="s">
        <v>40</v>
      </c>
      <c r="K83" s="38">
        <v>44</v>
      </c>
    </row>
    <row r="84" spans="1:11" x14ac:dyDescent="0.25">
      <c r="A84" s="6" t="s">
        <v>201</v>
      </c>
      <c r="B84" s="36" t="s">
        <v>202</v>
      </c>
      <c r="C84" s="7" t="str">
        <f>HYPERLINK("https://data.sopsr.sk/chranene-objekty/chranene-uzemia/detail/SKUEV0093","Severný Bodícky kanál")</f>
        <v>Severný Bodícky kanál</v>
      </c>
      <c r="D84" s="33">
        <v>25.750299999999999</v>
      </c>
      <c r="E84" s="44" t="str">
        <f>HYPERLINK("https://natura2000.sopsr.sk/lokality/uev/lokality-uev/?uev=SKUEV0093","Odkaz")</f>
        <v>Odkaz</v>
      </c>
      <c r="F84" s="44" t="str">
        <f>HYPERLINK("https://natura2000.sopsr.sk/wp-content/uploads/natura/legislativa/uev/ciele/SKUEV0093.docx","Spracované")</f>
        <v>Spracované</v>
      </c>
      <c r="G84" s="10" t="s">
        <v>10</v>
      </c>
      <c r="H84" s="9" t="s">
        <v>20</v>
      </c>
      <c r="I84" s="9" t="s">
        <v>167</v>
      </c>
      <c r="J84" s="10" t="s">
        <v>40</v>
      </c>
      <c r="K84" s="38">
        <v>0</v>
      </c>
    </row>
    <row r="85" spans="1:11" x14ac:dyDescent="0.25">
      <c r="A85" s="6" t="s">
        <v>203</v>
      </c>
      <c r="B85" s="36" t="s">
        <v>204</v>
      </c>
      <c r="C85" s="7" t="str">
        <f>HYPERLINK("https://data.sopsr.sk/chranene-objekty/chranene-uzemia/detail/SKUEV0094","Veľký les")</f>
        <v>Veľký les</v>
      </c>
      <c r="D85" s="33">
        <v>46.746600000000001</v>
      </c>
      <c r="E85" s="44" t="str">
        <f>HYPERLINK("https://natura2000.sopsr.sk/lokality/uev/lokality-uev/?uev=SKUEV0094","Odkaz")</f>
        <v>Odkaz</v>
      </c>
      <c r="F85" s="44" t="str">
        <f>HYPERLINK("https://natura2000.sopsr.sk/wp-content/uploads/natura/legislativa/uev/ciele/SKUEV0094.docx","Spracované")</f>
        <v>Spracované</v>
      </c>
      <c r="G85" s="10" t="s">
        <v>10</v>
      </c>
      <c r="H85" s="9" t="s">
        <v>20</v>
      </c>
      <c r="I85" s="9" t="s">
        <v>58</v>
      </c>
      <c r="J85" s="10" t="s">
        <v>40</v>
      </c>
      <c r="K85" s="38">
        <v>46</v>
      </c>
    </row>
    <row r="86" spans="1:11" x14ac:dyDescent="0.25">
      <c r="A86" s="6" t="s">
        <v>205</v>
      </c>
      <c r="B86" s="36" t="s">
        <v>206</v>
      </c>
      <c r="C86" s="7" t="str">
        <f>HYPERLINK("https://data.sopsr.sk/chranene-objekty/chranene-uzemia/detail/SKUEV0095","Panské lúky")</f>
        <v>Panské lúky</v>
      </c>
      <c r="D86" s="33">
        <v>68.924700000000001</v>
      </c>
      <c r="E86" s="44" t="str">
        <f>HYPERLINK("https://natura2000.sopsr.sk/lokality/uev/lokality-uev/?uev=SKUEV0095","Odkaz")</f>
        <v>Odkaz</v>
      </c>
      <c r="F86" s="44" t="str">
        <f>HYPERLINK("https://natura2000.sopsr.sk/wp-content/uploads/natura/legislativa/uev/ciele/SKUEV0095.docx","Spracované")</f>
        <v>Spracované</v>
      </c>
      <c r="G86" s="12" t="s">
        <v>23</v>
      </c>
      <c r="H86" s="9" t="s">
        <v>20</v>
      </c>
      <c r="I86" s="9" t="s">
        <v>58</v>
      </c>
      <c r="J86" s="10" t="s">
        <v>40</v>
      </c>
      <c r="K86" s="38">
        <v>100</v>
      </c>
    </row>
    <row r="87" spans="1:11" x14ac:dyDescent="0.25">
      <c r="A87" s="6" t="s">
        <v>207</v>
      </c>
      <c r="B87" s="36" t="s">
        <v>208</v>
      </c>
      <c r="C87" s="7" t="str">
        <f>HYPERLINK("https://data.sopsr.sk/chranene-objekty/chranene-uzemia/detail/SKUEV0096","Šurianske slaniská")</f>
        <v>Šurianske slaniská</v>
      </c>
      <c r="D87" s="33">
        <v>169.39189999999999</v>
      </c>
      <c r="E87" s="44" t="str">
        <f>HYPERLINK("https://natura2000.sopsr.sk/lokality/uev/lokality-uev/?uev=SKUEV0096","Odkaz")</f>
        <v>Odkaz</v>
      </c>
      <c r="F87" s="44" t="str">
        <f>HYPERLINK("https://natura2000.sopsr.sk/wp-content/uploads/natura/legislativa/uev/ciele/SKUEV0096.docx","Spracované")</f>
        <v>Spracované</v>
      </c>
      <c r="G87" s="8" t="s">
        <v>23</v>
      </c>
      <c r="H87" s="9" t="s">
        <v>20</v>
      </c>
      <c r="I87" s="9" t="s">
        <v>58</v>
      </c>
      <c r="J87" s="10" t="s">
        <v>40</v>
      </c>
      <c r="K87" s="38">
        <v>100</v>
      </c>
    </row>
    <row r="88" spans="1:11" x14ac:dyDescent="0.25">
      <c r="A88" s="6" t="s">
        <v>209</v>
      </c>
      <c r="B88" s="36" t="s">
        <v>210</v>
      </c>
      <c r="C88" s="7" t="str">
        <f>HYPERLINK("https://data.sopsr.sk/chranene-objekty/chranene-uzemia/detail/SKUEV0097","Palárikovské lúky")</f>
        <v>Palárikovské lúky</v>
      </c>
      <c r="D88" s="33">
        <v>15.422700000000001</v>
      </c>
      <c r="E88" s="44" t="str">
        <f>HYPERLINK("https://natura2000.sopsr.sk/lokality/uev/lokality-uev/?uev=SKUEV0097","Odkaz")</f>
        <v>Odkaz</v>
      </c>
      <c r="F88" s="44" t="str">
        <f>HYPERLINK("https://natura2000.sopsr.sk/wp-content/uploads/natura/legislativa/uev/ciele/SKUEV0097.docx","Spracované")</f>
        <v>Spracované</v>
      </c>
      <c r="G88" s="10" t="s">
        <v>10</v>
      </c>
      <c r="H88" s="9" t="s">
        <v>20</v>
      </c>
      <c r="I88" s="9" t="s">
        <v>58</v>
      </c>
      <c r="J88" s="10" t="s">
        <v>40</v>
      </c>
      <c r="K88" s="38">
        <v>100</v>
      </c>
    </row>
    <row r="89" spans="1:11" x14ac:dyDescent="0.25">
      <c r="A89" s="6" t="s">
        <v>211</v>
      </c>
      <c r="B89" s="36" t="s">
        <v>212</v>
      </c>
      <c r="C89" s="7" t="str">
        <f>HYPERLINK("https://data.sopsr.sk/chranene-objekty/chranene-uzemia/detail/SKUEV0098","Nesvadské piesky")</f>
        <v>Nesvadské piesky</v>
      </c>
      <c r="D89" s="33">
        <v>35.318899999999999</v>
      </c>
      <c r="E89" s="44" t="str">
        <f>HYPERLINK("https://natura2000.sopsr.sk/lokality/uev/lokality-uev/?uev=SKUEV0098","Odkaz")</f>
        <v>Odkaz</v>
      </c>
      <c r="F89" s="44" t="str">
        <f>HYPERLINK("https://natura2000.sopsr.sk/wp-content/uploads/natura/legislativa/uev/ciele/SKUEV0098.docx","Spracované")</f>
        <v>Spracované</v>
      </c>
      <c r="G89" s="12" t="s">
        <v>23</v>
      </c>
      <c r="H89" s="9" t="s">
        <v>20</v>
      </c>
      <c r="I89" s="9" t="s">
        <v>58</v>
      </c>
      <c r="J89" s="10" t="s">
        <v>40</v>
      </c>
      <c r="K89" s="38">
        <v>100</v>
      </c>
    </row>
    <row r="90" spans="1:11" x14ac:dyDescent="0.25">
      <c r="A90" s="6" t="s">
        <v>213</v>
      </c>
      <c r="B90" s="36" t="s">
        <v>214</v>
      </c>
      <c r="C90" s="7" t="str">
        <f>HYPERLINK("https://data.sopsr.sk/chranene-objekty/chranene-uzemia/detail/SKUEV0099","Pavelské slanisko")</f>
        <v>Pavelské slanisko</v>
      </c>
      <c r="D90" s="33">
        <v>18.6692</v>
      </c>
      <c r="E90" s="44" t="str">
        <f>HYPERLINK("https://natura2000.sopsr.sk/lokality/uev/lokality-uev/?uev=SKUEV0099","Odkaz")</f>
        <v>Odkaz</v>
      </c>
      <c r="F90" s="44" t="str">
        <f>HYPERLINK("https://natura2000.sopsr.sk/wp-content/uploads/natura/legislativa/uev/ciele/SKUEV0099.docx","Spracované")</f>
        <v>Spracované</v>
      </c>
      <c r="G90" s="8" t="s">
        <v>23</v>
      </c>
      <c r="H90" s="9" t="s">
        <v>20</v>
      </c>
      <c r="I90" s="9" t="s">
        <v>58</v>
      </c>
      <c r="J90" s="10" t="s">
        <v>40</v>
      </c>
      <c r="K90" s="38">
        <v>100</v>
      </c>
    </row>
    <row r="91" spans="1:11" x14ac:dyDescent="0.25">
      <c r="A91" s="6" t="s">
        <v>215</v>
      </c>
      <c r="B91" s="36" t="s">
        <v>216</v>
      </c>
      <c r="C91" s="7" t="str">
        <f>HYPERLINK("https://data.sopsr.sk/chranene-objekty/chranene-uzemia/detail/SKUEV0100","Chotínske piesky")</f>
        <v>Chotínske piesky</v>
      </c>
      <c r="D91" s="33">
        <v>7.0843999999999996</v>
      </c>
      <c r="E91" s="44" t="str">
        <f>HYPERLINK("https://natura2000.sopsr.sk/lokality/uev/lokality-uev/?uev=SKUEV0100","Odkaz")</f>
        <v>Odkaz</v>
      </c>
      <c r="F91" s="44" t="str">
        <f>HYPERLINK("https://natura2000.sopsr.sk/wp-content/uploads/natura/legislativa/uev/ciele/SKUEV0100.docx","Spracované")</f>
        <v>Spracované</v>
      </c>
      <c r="G91" s="8" t="s">
        <v>23</v>
      </c>
      <c r="H91" s="9" t="s">
        <v>20</v>
      </c>
      <c r="I91" s="9" t="s">
        <v>58</v>
      </c>
      <c r="J91" s="10" t="s">
        <v>40</v>
      </c>
      <c r="K91" s="38">
        <v>100</v>
      </c>
    </row>
    <row r="92" spans="1:11" ht="21.75" customHeight="1" x14ac:dyDescent="0.25">
      <c r="A92" s="6" t="s">
        <v>217</v>
      </c>
      <c r="B92" s="36" t="s">
        <v>218</v>
      </c>
      <c r="C92" s="7" t="str">
        <f>HYPERLINK("https://data.sopsr.sk/chranene-objekty/chranene-uzemia/detail/SKUEV0101","Klokočovské rašeliniská")</f>
        <v>Klokočovské rašeliniská</v>
      </c>
      <c r="D92" s="33">
        <v>46.0306</v>
      </c>
      <c r="E92" s="44" t="str">
        <f>HYPERLINK("https://natura2000.sopsr.sk/lokality/uev/lokality-uev/?uev=SKUEV0101","Odkaz")</f>
        <v>Odkaz</v>
      </c>
      <c r="F92" s="44" t="str">
        <f>HYPERLINK("https://natura2000.sopsr.sk/wp-content/uploads/natura/legislativa/uev/ciele/SKUEV0101.docx","Spracované")</f>
        <v>Spracované</v>
      </c>
      <c r="G92" s="10" t="s">
        <v>10</v>
      </c>
      <c r="H92" s="10" t="s">
        <v>11</v>
      </c>
      <c r="I92" s="9" t="s">
        <v>127</v>
      </c>
      <c r="J92" s="10" t="s">
        <v>219</v>
      </c>
      <c r="K92" s="38">
        <v>84</v>
      </c>
    </row>
    <row r="93" spans="1:11" ht="20.25" customHeight="1" x14ac:dyDescent="0.25">
      <c r="A93" s="6" t="s">
        <v>220</v>
      </c>
      <c r="B93" s="36" t="s">
        <v>221</v>
      </c>
      <c r="C93" s="7" t="str">
        <f>HYPERLINK("https://data.sopsr.sk/chranene-objekty/chranene-uzemia/detail/SKUEV0102","Čertov")</f>
        <v>Čertov</v>
      </c>
      <c r="D93" s="33">
        <v>400.55329999999998</v>
      </c>
      <c r="E93" s="44" t="str">
        <f>HYPERLINK("https://natura2000.sopsr.sk/lokality/uev/lokality-uev/?uev=SKUEV0102","Odkaz")</f>
        <v>Odkaz</v>
      </c>
      <c r="F93" s="44" t="str">
        <f>HYPERLINK("https://natura2000.sopsr.sk/wp-content/uploads/natura/legislativa/uev/ciele/SKUEV0102.docx","Spracované")</f>
        <v>Spracované</v>
      </c>
      <c r="G93" s="10" t="s">
        <v>10</v>
      </c>
      <c r="H93" s="10" t="s">
        <v>11</v>
      </c>
      <c r="I93" s="9" t="s">
        <v>222</v>
      </c>
      <c r="J93" s="10" t="s">
        <v>219</v>
      </c>
      <c r="K93" s="38">
        <v>100</v>
      </c>
    </row>
    <row r="94" spans="1:11" ht="27" customHeight="1" x14ac:dyDescent="0.25">
      <c r="A94" s="6" t="s">
        <v>223</v>
      </c>
      <c r="B94" s="36" t="s">
        <v>224</v>
      </c>
      <c r="C94" s="7" t="str">
        <f>HYPERLINK("https://data.sopsr.sk/chranene-objekty/chranene-uzemia/detail/SKUEV0103","Čachtické Karpaty")</f>
        <v>Čachtické Karpaty</v>
      </c>
      <c r="D94" s="33">
        <v>710.73500000000001</v>
      </c>
      <c r="E94" s="44" t="str">
        <f>HYPERLINK("https://natura2000.sopsr.sk/lokality/uev/lokality-uev/?uev=SKUEV0103","Odkaz")</f>
        <v>Odkaz</v>
      </c>
      <c r="F94" s="44" t="str">
        <f>HYPERLINK("https://natura2000.sopsr.sk/wp-content/uploads/natura/legislativa/uev/ciele/SKUEV0103.docx","Spracované")</f>
        <v>Spracované</v>
      </c>
      <c r="G94" s="12" t="s">
        <v>23</v>
      </c>
      <c r="H94" s="10" t="s">
        <v>11</v>
      </c>
      <c r="I94" s="9" t="s">
        <v>222</v>
      </c>
      <c r="J94" s="10" t="s">
        <v>225</v>
      </c>
      <c r="K94" s="38">
        <v>100</v>
      </c>
    </row>
    <row r="95" spans="1:11" x14ac:dyDescent="0.25">
      <c r="A95" s="6" t="s">
        <v>226</v>
      </c>
      <c r="B95" s="36" t="s">
        <v>227</v>
      </c>
      <c r="C95" s="7" t="str">
        <f>HYPERLINK("https://data.sopsr.sk/chranene-objekty/chranene-uzemia/detail/SKUEV0104","Homoľské Karpaty")</f>
        <v>Homoľské Karpaty</v>
      </c>
      <c r="D95" s="33">
        <v>5223.7866999999997</v>
      </c>
      <c r="E95" s="44" t="str">
        <f>HYPERLINK("https://natura2000.sopsr.sk/lokality/uev/lokality-uev/?uev=SKUEV0104","Odkaz")</f>
        <v>Odkaz</v>
      </c>
      <c r="F95" s="44" t="str">
        <f>HYPERLINK("https://natura2000.sopsr.sk/wp-content/uploads/natura/legislativa/uev/ciele/SKUEV0104.docx","Spracované")</f>
        <v>Spracované</v>
      </c>
      <c r="G95" s="10" t="s">
        <v>10</v>
      </c>
      <c r="H95" s="9" t="s">
        <v>11</v>
      </c>
      <c r="I95" s="10" t="s">
        <v>146</v>
      </c>
      <c r="J95" s="10" t="s">
        <v>225</v>
      </c>
      <c r="K95" s="38">
        <v>100</v>
      </c>
    </row>
    <row r="96" spans="1:11" ht="37.5" customHeight="1" x14ac:dyDescent="0.25">
      <c r="A96" s="6" t="s">
        <v>228</v>
      </c>
      <c r="B96" s="36" t="s">
        <v>229</v>
      </c>
      <c r="C96" s="7" t="str">
        <f>HYPERLINK("https://data.sopsr.sk/chranene-objekty/chranene-uzemia/detail/SKUEV0105","Spišskopodhradské travertíny")</f>
        <v>Spišskopodhradské travertíny</v>
      </c>
      <c r="D96" s="33">
        <v>314.47340000000003</v>
      </c>
      <c r="E96" s="44" t="str">
        <f>HYPERLINK("https://natura2000.sopsr.sk/lokality/uev/lokality-uev/?uev=SKUEV0105","Odkaz")</f>
        <v>Odkaz</v>
      </c>
      <c r="F96" s="44" t="str">
        <f>HYPERLINK("https://natura2000.sopsr.sk/wp-content/uploads/natura/legislativa/uev/ciele/SKUEV0105.docx","Spracované")</f>
        <v>Spracované</v>
      </c>
      <c r="G96" s="46" t="s">
        <v>232</v>
      </c>
      <c r="H96" s="10" t="s">
        <v>11</v>
      </c>
      <c r="I96" s="9" t="s">
        <v>230</v>
      </c>
      <c r="J96" s="10" t="s">
        <v>231</v>
      </c>
      <c r="K96" s="38">
        <v>82</v>
      </c>
    </row>
    <row r="97" spans="1:11" x14ac:dyDescent="0.25">
      <c r="A97" s="6" t="s">
        <v>233</v>
      </c>
      <c r="B97" s="36" t="s">
        <v>234</v>
      </c>
      <c r="C97" s="7" t="str">
        <f>HYPERLINK("https://data.sopsr.sk/chranene-objekty/chranene-uzemia/detail/SKUEV0106","Muráň")</f>
        <v>Muráň</v>
      </c>
      <c r="D97" s="33">
        <v>179.2012</v>
      </c>
      <c r="E97" s="44" t="str">
        <f>HYPERLINK("https://natura2000.sopsr.sk/lokality/uev/lokality-uev/?uev=SKUEV0106","Odkaz")</f>
        <v>Odkaz</v>
      </c>
      <c r="F97" s="44" t="str">
        <f>HYPERLINK("https://natura2000.sopsr.sk/wp-content/uploads/natura/legislativa/uev/ciele/SKUEV0106.docx","Spracované")</f>
        <v>Spracované</v>
      </c>
      <c r="G97" s="8" t="s">
        <v>23</v>
      </c>
      <c r="H97" s="10" t="s">
        <v>11</v>
      </c>
      <c r="I97" s="10" t="s">
        <v>64</v>
      </c>
      <c r="J97" s="10" t="s">
        <v>231</v>
      </c>
      <c r="K97" s="38">
        <v>100</v>
      </c>
    </row>
    <row r="98" spans="1:11" x14ac:dyDescent="0.25">
      <c r="A98" s="6" t="s">
        <v>235</v>
      </c>
      <c r="B98" s="36" t="s">
        <v>236</v>
      </c>
      <c r="C98" s="7" t="str">
        <f>HYPERLINK("https://data.sopsr.sk/chranene-objekty/chranene-uzemia/detail/SKUEV0107","Spišskopodhradské stráne")</f>
        <v>Spišskopodhradské stráne</v>
      </c>
      <c r="D98" s="33">
        <v>76.8018</v>
      </c>
      <c r="E98" s="44" t="str">
        <f>HYPERLINK("https://natura2000.sopsr.sk/lokality/uev/lokality-uev/?uev=SKUEV0107","Odkaz")</f>
        <v>Odkaz</v>
      </c>
      <c r="F98" s="44" t="str">
        <f>HYPERLINK("https://natura2000.sopsr.sk/wp-content/uploads/natura/legislativa/uev/ciele/SKUEV0107.docx","Spracované")</f>
        <v>Spracované</v>
      </c>
      <c r="G98" s="10" t="s">
        <v>10</v>
      </c>
      <c r="H98" s="10" t="s">
        <v>11</v>
      </c>
      <c r="I98" s="9" t="s">
        <v>55</v>
      </c>
      <c r="J98" s="10" t="s">
        <v>231</v>
      </c>
      <c r="K98" s="38">
        <v>0</v>
      </c>
    </row>
    <row r="99" spans="1:11" x14ac:dyDescent="0.25">
      <c r="A99" s="6" t="s">
        <v>237</v>
      </c>
      <c r="B99" s="36" t="s">
        <v>238</v>
      </c>
      <c r="C99" s="7" t="str">
        <f>HYPERLINK("https://data.sopsr.sk/chranene-objekty/chranene-uzemia/detail/SKUEV0108","Ordzovianske dubiny")</f>
        <v>Ordzovianske dubiny</v>
      </c>
      <c r="D99" s="33">
        <v>215.89230000000001</v>
      </c>
      <c r="E99" s="44" t="str">
        <f>HYPERLINK("https://natura2000.sopsr.sk/lokality/uev/lokality-uev/?uev=SKUEV0108","Odkaz")</f>
        <v>Odkaz</v>
      </c>
      <c r="F99" s="44" t="str">
        <f>HYPERLINK("https://natura2000.sopsr.sk/wp-content/uploads/natura/legislativa/uev/ciele/SKUEV0108.docx","Spracované")</f>
        <v>Spracované</v>
      </c>
      <c r="G99" s="10" t="s">
        <v>10</v>
      </c>
      <c r="H99" s="9" t="s">
        <v>11</v>
      </c>
      <c r="I99" s="9" t="s">
        <v>55</v>
      </c>
      <c r="J99" s="10" t="s">
        <v>231</v>
      </c>
      <c r="K99" s="38">
        <v>0</v>
      </c>
    </row>
    <row r="100" spans="1:11" x14ac:dyDescent="0.25">
      <c r="A100" s="6" t="s">
        <v>239</v>
      </c>
      <c r="B100" s="36" t="s">
        <v>240</v>
      </c>
      <c r="C100" s="7" t="str">
        <f>HYPERLINK("https://data.sopsr.sk/chranene-objekty/chranene-uzemia/detail/SKUEV0109","Rajtopíky")</f>
        <v>Rajtopíky</v>
      </c>
      <c r="D100" s="33">
        <v>256.9008</v>
      </c>
      <c r="E100" s="44" t="str">
        <f>HYPERLINK("https://natura2000.sopsr.sk/lokality/uev/lokality-uev/?uev=SKUEV0109","Odkaz")</f>
        <v>Odkaz</v>
      </c>
      <c r="F100" s="44" t="str">
        <f>HYPERLINK("https://natura2000.sopsr.sk/wp-content/uploads/natura/legislativa/uev/ciele/SKUEV0109.docx","Spracované")</f>
        <v>Spracované</v>
      </c>
      <c r="G100" s="10" t="s">
        <v>10</v>
      </c>
      <c r="H100" s="10" t="s">
        <v>11</v>
      </c>
      <c r="I100" s="9" t="s">
        <v>55</v>
      </c>
      <c r="J100" s="10" t="s">
        <v>231</v>
      </c>
      <c r="K100" s="38">
        <v>46</v>
      </c>
    </row>
    <row r="101" spans="1:11" x14ac:dyDescent="0.25">
      <c r="A101" s="6" t="s">
        <v>241</v>
      </c>
      <c r="B101" s="36" t="s">
        <v>242</v>
      </c>
      <c r="C101" s="7" t="str">
        <f>HYPERLINK("https://data.sopsr.sk/chranene-objekty/chranene-uzemia/detail/SKUEV0110","Levočské dubiny")</f>
        <v>Levočské dubiny</v>
      </c>
      <c r="D101" s="33">
        <v>604.78240000000005</v>
      </c>
      <c r="E101" s="44" t="str">
        <f>HYPERLINK("https://natura2000.sopsr.sk/lokality/uev/lokality-uev/?uev=SKUEV0110","Odkaz")</f>
        <v>Odkaz</v>
      </c>
      <c r="F101" s="44" t="str">
        <f>HYPERLINK("https://natura2000.sopsr.sk/wp-content/uploads/natura/legislativa/uev/ciele/SKUEV0110.docx","Spracované")</f>
        <v>Spracované</v>
      </c>
      <c r="G101" s="10" t="s">
        <v>10</v>
      </c>
      <c r="H101" s="10" t="s">
        <v>11</v>
      </c>
      <c r="I101" s="9" t="s">
        <v>55</v>
      </c>
      <c r="J101" s="10" t="s">
        <v>231</v>
      </c>
      <c r="K101" s="38">
        <v>0</v>
      </c>
    </row>
    <row r="102" spans="1:11" ht="22.5" customHeight="1" x14ac:dyDescent="0.25">
      <c r="A102" s="6" t="s">
        <v>243</v>
      </c>
      <c r="B102" s="36" t="s">
        <v>244</v>
      </c>
      <c r="C102" s="7" t="str">
        <f>HYPERLINK("https://data.sopsr.sk/chranene-objekty/chranene-uzemia/detail/SKUEV0111","Dravčianska stráň")</f>
        <v>Dravčianska stráň</v>
      </c>
      <c r="D102" s="33">
        <v>3.3197000000000001</v>
      </c>
      <c r="E102" s="44" t="str">
        <f>HYPERLINK("https://natura2000.sopsr.sk/lokality/uev/lokality-uev/?uev=SKUEV0111","Odkaz")</f>
        <v>Odkaz</v>
      </c>
      <c r="F102" s="44" t="str">
        <f>HYPERLINK("https://natura2000.sopsr.sk/wp-content/uploads/natura/legislativa/uev/ciele/SKUEV0111.docx","Spracované")</f>
        <v>Spracované</v>
      </c>
      <c r="G102" s="10" t="s">
        <v>10</v>
      </c>
      <c r="H102" s="10" t="s">
        <v>11</v>
      </c>
      <c r="I102" s="9" t="s">
        <v>55</v>
      </c>
      <c r="J102" s="10" t="s">
        <v>231</v>
      </c>
      <c r="K102" s="38">
        <v>0</v>
      </c>
    </row>
    <row r="103" spans="1:11" ht="17.25" customHeight="1" x14ac:dyDescent="0.25">
      <c r="A103" s="6" t="s">
        <v>245</v>
      </c>
      <c r="B103" s="36" t="s">
        <v>246</v>
      </c>
      <c r="C103" s="7" t="str">
        <f>HYPERLINK("https://data.sopsr.sk/chranene-objekty/chranene-uzemia/detail/SKUEV0112","Slovenský raj")</f>
        <v>Slovenský raj</v>
      </c>
      <c r="D103" s="33">
        <v>17436.274399999998</v>
      </c>
      <c r="E103" s="44" t="str">
        <f>HYPERLINK("https://natura2000.sopsr.sk/lokality/uev/lokality-uev/?uev=SKUEV0112","Odkaz")</f>
        <v>Odkaz</v>
      </c>
      <c r="F103" s="44" t="str">
        <f>HYPERLINK("https://natura2000.sopsr.sk/wp-content/uploads/natura/legislativa/uev/ciele/SKUEV0112.docx","Spracované")</f>
        <v>Spracované</v>
      </c>
      <c r="G103" s="8" t="s">
        <v>23</v>
      </c>
      <c r="H103" s="9" t="s">
        <v>11</v>
      </c>
      <c r="I103" s="10" t="s">
        <v>247</v>
      </c>
      <c r="J103" s="10" t="s">
        <v>231</v>
      </c>
      <c r="K103" s="38">
        <v>98</v>
      </c>
    </row>
    <row r="104" spans="1:11" x14ac:dyDescent="0.25">
      <c r="A104" s="6" t="s">
        <v>248</v>
      </c>
      <c r="B104" s="36" t="s">
        <v>249</v>
      </c>
      <c r="C104" s="7" t="str">
        <f>HYPERLINK("https://data.sopsr.sk/chranene-objekty/chranene-uzemia/detail/SKUEV0113","Dlhé lúky")</f>
        <v>Dlhé lúky</v>
      </c>
      <c r="D104" s="33">
        <v>18.443000000000001</v>
      </c>
      <c r="E104" s="44" t="str">
        <f>HYPERLINK("https://natura2000.sopsr.sk/lokality/uev/lokality-uev/?uev=SKUEV0113","Odkaz")</f>
        <v>Odkaz</v>
      </c>
      <c r="F104" s="44" t="str">
        <f>HYPERLINK("https://natura2000.sopsr.sk/wp-content/uploads/natura/legislativa/uev/ciele/SKUEV0113.docx","Spracované")</f>
        <v>Spracované</v>
      </c>
      <c r="G104" s="10" t="s">
        <v>10</v>
      </c>
      <c r="H104" s="9" t="s">
        <v>20</v>
      </c>
      <c r="I104" s="9" t="s">
        <v>167</v>
      </c>
      <c r="J104" s="10" t="s">
        <v>250</v>
      </c>
      <c r="K104" s="38">
        <v>100</v>
      </c>
    </row>
    <row r="105" spans="1:11" x14ac:dyDescent="0.25">
      <c r="A105" s="6" t="s">
        <v>251</v>
      </c>
      <c r="B105" s="36" t="s">
        <v>252</v>
      </c>
      <c r="C105" s="7" t="str">
        <f>HYPERLINK("https://data.sopsr.sk/chranene-objekty/chranene-uzemia/detail/SKUEV0115","Bahno")</f>
        <v>Bahno</v>
      </c>
      <c r="D105" s="33">
        <v>50.0685</v>
      </c>
      <c r="E105" s="44" t="str">
        <f>HYPERLINK("https://natura2000.sopsr.sk/lokality/uev/lokality-uev/?uev=SKUEV0115","Odkaz")</f>
        <v>Odkaz</v>
      </c>
      <c r="F105" s="44" t="str">
        <f>HYPERLINK("https://natura2000.sopsr.sk/wp-content/uploads/natura/legislativa/uev/ciele/SKUEV0115.docx","Spracované")</f>
        <v>Spracované</v>
      </c>
      <c r="G105" s="15" t="s">
        <v>10</v>
      </c>
      <c r="H105" s="9" t="s">
        <v>20</v>
      </c>
      <c r="I105" s="9" t="s">
        <v>167</v>
      </c>
      <c r="J105" s="10" t="s">
        <v>250</v>
      </c>
      <c r="K105" s="38">
        <v>100</v>
      </c>
    </row>
    <row r="106" spans="1:11" x14ac:dyDescent="0.25">
      <c r="A106" s="6" t="s">
        <v>253</v>
      </c>
      <c r="B106" s="36" t="s">
        <v>254</v>
      </c>
      <c r="C106" s="7" t="str">
        <f>HYPERLINK("https://data.sopsr.sk/chranene-objekty/chranene-uzemia/detail/SKUEV0116","Jakubovské rybníky")</f>
        <v>Jakubovské rybníky</v>
      </c>
      <c r="D106" s="33">
        <v>148.99539999999999</v>
      </c>
      <c r="E106" s="44" t="str">
        <f>HYPERLINK("https://natura2000.sopsr.sk/lokality/uev/lokality-uev/?uev=SKUEV0116","Odkaz")</f>
        <v>Odkaz</v>
      </c>
      <c r="F106" s="44" t="str">
        <f>HYPERLINK("https://natura2000.sopsr.sk/wp-content/uploads/natura/legislativa/uev/ciele/SKUEV0116.docx","Spracované")</f>
        <v>Spracované</v>
      </c>
      <c r="G106" s="10" t="s">
        <v>10</v>
      </c>
      <c r="H106" s="9" t="s">
        <v>20</v>
      </c>
      <c r="I106" s="10" t="s">
        <v>146</v>
      </c>
      <c r="J106" s="10" t="s">
        <v>250</v>
      </c>
      <c r="K106" s="38">
        <v>47</v>
      </c>
    </row>
    <row r="107" spans="1:11" x14ac:dyDescent="0.25">
      <c r="A107" s="6" t="s">
        <v>255</v>
      </c>
      <c r="B107" s="36" t="s">
        <v>256</v>
      </c>
      <c r="C107" s="7" t="str">
        <f>HYPERLINK("https://data.sopsr.sk/chranene-objekty/chranene-uzemia/detail/SKUEV0117","Abrod")</f>
        <v>Abrod</v>
      </c>
      <c r="D107" s="33">
        <v>165.0112</v>
      </c>
      <c r="E107" s="44" t="str">
        <f>HYPERLINK("https://natura2000.sopsr.sk/lokality/uev/lokality-uev/?uev=SKUEV0117","Odkaz")</f>
        <v>Odkaz</v>
      </c>
      <c r="F107" s="44" t="str">
        <f>HYPERLINK("https://natura2000.sopsr.sk/wp-content/uploads/natura/legislativa/uev/ciele/SKUEV0117.docx","Spracované")</f>
        <v>Spracované</v>
      </c>
      <c r="G107" s="10" t="s">
        <v>10</v>
      </c>
      <c r="H107" s="9" t="s">
        <v>20</v>
      </c>
      <c r="I107" s="10" t="s">
        <v>146</v>
      </c>
      <c r="J107" s="10" t="s">
        <v>250</v>
      </c>
      <c r="K107" s="38">
        <v>82</v>
      </c>
    </row>
    <row r="108" spans="1:11" x14ac:dyDescent="0.25">
      <c r="A108" s="6" t="s">
        <v>257</v>
      </c>
      <c r="B108" s="36" t="s">
        <v>258</v>
      </c>
      <c r="C108" s="7" t="str">
        <f>HYPERLINK("https://data.sopsr.sk/chranene-objekty/chranene-uzemia/detail/SKUEV0119","Široká")</f>
        <v>Široká</v>
      </c>
      <c r="D108" s="33">
        <v>205.0078</v>
      </c>
      <c r="E108" s="44" t="str">
        <f>HYPERLINK("https://natura2000.sopsr.sk/lokality/uev/lokality-uev/?uev=SKUEV0119","Odkaz")</f>
        <v>Odkaz</v>
      </c>
      <c r="F108" s="44" t="str">
        <f>HYPERLINK("https://natura2000.sopsr.sk/wp-content/uploads/natura/legislativa/uev/ciele/SKUEV0119.docx","Spracované")</f>
        <v>Spracované</v>
      </c>
      <c r="G108" s="12" t="s">
        <v>23</v>
      </c>
      <c r="H108" s="9" t="s">
        <v>20</v>
      </c>
      <c r="I108" s="10" t="s">
        <v>146</v>
      </c>
      <c r="J108" s="10" t="s">
        <v>250</v>
      </c>
      <c r="K108" s="38">
        <v>100</v>
      </c>
    </row>
    <row r="109" spans="1:11" x14ac:dyDescent="0.25">
      <c r="A109" s="6" t="s">
        <v>259</v>
      </c>
      <c r="B109" s="36" t="s">
        <v>260</v>
      </c>
      <c r="C109" s="7" t="str">
        <f>HYPERLINK("https://data.sopsr.sk/chranene-objekty/chranene-uzemia/detail/SKUEV0120","Jasenácke")</f>
        <v>Jasenácke</v>
      </c>
      <c r="D109" s="33">
        <v>50.247500000000002</v>
      </c>
      <c r="E109" s="44" t="str">
        <f>HYPERLINK("https://natura2000.sopsr.sk/lokality/uev/lokality-uev/?uev=SKUEV0120","Odkaz")</f>
        <v>Odkaz</v>
      </c>
      <c r="F109" s="44" t="str">
        <f>HYPERLINK("https://natura2000.sopsr.sk/wp-content/uploads/natura/legislativa/uev/ciele/SKUEV0120.docx","Spracované")</f>
        <v>Spracované</v>
      </c>
      <c r="G109" s="15" t="s">
        <v>10</v>
      </c>
      <c r="H109" s="9" t="s">
        <v>20</v>
      </c>
      <c r="I109" s="9" t="s">
        <v>261</v>
      </c>
      <c r="J109" s="10" t="s">
        <v>250</v>
      </c>
      <c r="K109" s="38">
        <v>100</v>
      </c>
    </row>
    <row r="110" spans="1:11" x14ac:dyDescent="0.25">
      <c r="A110" s="6" t="s">
        <v>262</v>
      </c>
      <c r="B110" s="36" t="s">
        <v>263</v>
      </c>
      <c r="C110" s="7" t="str">
        <f>HYPERLINK("https://data.sopsr.sk/chranene-objekty/chranene-uzemia/detail/SKUEV0121","Marhecké rybníky")</f>
        <v>Marhecké rybníky</v>
      </c>
      <c r="D110" s="33">
        <v>58.432499999999997</v>
      </c>
      <c r="E110" s="44" t="str">
        <f>HYPERLINK("https://natura2000.sopsr.sk/lokality/uev/lokality-uev/?uev=SKUEV0121","Odkaz")</f>
        <v>Odkaz</v>
      </c>
      <c r="F110" s="44" t="str">
        <f>HYPERLINK("https://natura2000.sopsr.sk/wp-content/uploads/natura/legislativa/uev/ciele/SKUEV0121.docx","Spracované")</f>
        <v>Spracované</v>
      </c>
      <c r="G110" s="15" t="s">
        <v>10</v>
      </c>
      <c r="H110" s="9" t="s">
        <v>20</v>
      </c>
      <c r="I110" s="10" t="s">
        <v>146</v>
      </c>
      <c r="J110" s="10" t="s">
        <v>250</v>
      </c>
      <c r="K110" s="38">
        <v>100</v>
      </c>
    </row>
    <row r="111" spans="1:11" x14ac:dyDescent="0.25">
      <c r="A111" s="6" t="s">
        <v>264</v>
      </c>
      <c r="B111" s="36" t="s">
        <v>265</v>
      </c>
      <c r="C111" s="7" t="str">
        <f>HYPERLINK("https://data.sopsr.sk/chranene-objekty/chranene-uzemia/detail/SKUEV0123","Dúbrava")</f>
        <v>Dúbrava</v>
      </c>
      <c r="D111" s="33">
        <v>21.2133</v>
      </c>
      <c r="E111" s="44" t="str">
        <f>HYPERLINK("https://natura2000.sopsr.sk/lokality/uev/lokality-uev/?uev=SKUEV0123","Odkaz")</f>
        <v>Odkaz</v>
      </c>
      <c r="F111" s="44" t="str">
        <f>HYPERLINK("https://natura2000.sopsr.sk/wp-content/uploads/natura/legislativa/uev/ciele/SKUEV0123.docx","Spracované")</f>
        <v>Spracované</v>
      </c>
      <c r="G111" s="10" t="s">
        <v>10</v>
      </c>
      <c r="H111" s="9" t="s">
        <v>20</v>
      </c>
      <c r="I111" s="10" t="s">
        <v>146</v>
      </c>
      <c r="J111" s="10" t="s">
        <v>250</v>
      </c>
      <c r="K111" s="38">
        <v>100</v>
      </c>
    </row>
    <row r="112" spans="1:11" x14ac:dyDescent="0.25">
      <c r="A112" s="6" t="s">
        <v>266</v>
      </c>
      <c r="B112" s="36" t="s">
        <v>267</v>
      </c>
      <c r="C112" s="7" t="str">
        <f>HYPERLINK("https://data.sopsr.sk/chranene-objekty/chranene-uzemia/detail/SKUEV0124","Bogdalický vrch")</f>
        <v>Bogdalický vrch</v>
      </c>
      <c r="D112" s="33">
        <v>59.394799999999996</v>
      </c>
      <c r="E112" s="44" t="str">
        <f>HYPERLINK("https://natura2000.sopsr.sk/lokality/uev/lokality-uev/?uev=SKUEV0124","Odkaz")</f>
        <v>Odkaz</v>
      </c>
      <c r="F112" s="44" t="str">
        <f>HYPERLINK("https://natura2000.sopsr.sk/wp-content/uploads/natura/legislativa/uev/ciele/SKUEV0124.docx","Spracované")</f>
        <v>Spracované</v>
      </c>
      <c r="G112" s="10" t="s">
        <v>10</v>
      </c>
      <c r="H112" s="9" t="s">
        <v>20</v>
      </c>
      <c r="I112" s="10" t="s">
        <v>146</v>
      </c>
      <c r="J112" s="10" t="s">
        <v>250</v>
      </c>
      <c r="K112" s="38">
        <v>100</v>
      </c>
    </row>
    <row r="113" spans="1:11" x14ac:dyDescent="0.25">
      <c r="A113" s="6" t="s">
        <v>268</v>
      </c>
      <c r="B113" s="36" t="s">
        <v>269</v>
      </c>
      <c r="C113" s="7" t="str">
        <f>HYPERLINK("https://data.sopsr.sk/chranene-objekty/chranene-uzemia/detail/SKUEV0125","Gajarské alúvium Moravy")</f>
        <v>Gajarské alúvium Moravy</v>
      </c>
      <c r="D113" s="33">
        <v>1774.6369999999999</v>
      </c>
      <c r="E113" s="44" t="str">
        <f>HYPERLINK("https://natura2000.sopsr.sk/lokality/uev/lokality-uev/?uev=SKUEV0125","Odkaz")</f>
        <v>Odkaz</v>
      </c>
      <c r="F113" s="44" t="str">
        <f>HYPERLINK("https://natura2000.sopsr.sk/wp-content/uploads/natura/legislativa/uev/ciele/SKUEV0125.docx","Spracované")</f>
        <v>Spracované</v>
      </c>
      <c r="G113" s="10" t="s">
        <v>10</v>
      </c>
      <c r="H113" s="9" t="s">
        <v>20</v>
      </c>
      <c r="I113" s="9" t="s">
        <v>261</v>
      </c>
      <c r="J113" s="10" t="s">
        <v>250</v>
      </c>
      <c r="K113" s="38">
        <v>100</v>
      </c>
    </row>
    <row r="114" spans="1:11" x14ac:dyDescent="0.25">
      <c r="A114" s="6" t="s">
        <v>270</v>
      </c>
      <c r="B114" s="36" t="s">
        <v>271</v>
      </c>
      <c r="C114" s="7" t="str">
        <f>HYPERLINK("https://data.sopsr.sk/chranene-objekty/chranene-uzemia/detail/SKUEV0126","Vinodolský hájik")</f>
        <v>Vinodolský hájik</v>
      </c>
      <c r="D114" s="33">
        <v>22.160599999999999</v>
      </c>
      <c r="E114" s="44" t="str">
        <f>HYPERLINK("https://natura2000.sopsr.sk/lokality/uev/lokality-uev/?uev=SKUEV0126","Odkaz")</f>
        <v>Odkaz</v>
      </c>
      <c r="F114" s="44" t="str">
        <f>HYPERLINK("https://natura2000.sopsr.sk/wp-content/uploads/natura/legislativa/uev/ciele/SKUEV0126.docx","Spracované")</f>
        <v>Spracované</v>
      </c>
      <c r="G114" s="10" t="s">
        <v>10</v>
      </c>
      <c r="H114" s="9" t="s">
        <v>20</v>
      </c>
      <c r="I114" s="9" t="s">
        <v>58</v>
      </c>
      <c r="J114" s="10" t="s">
        <v>47</v>
      </c>
      <c r="K114" s="38">
        <v>0</v>
      </c>
    </row>
    <row r="115" spans="1:11" x14ac:dyDescent="0.25">
      <c r="A115" s="6" t="s">
        <v>272</v>
      </c>
      <c r="B115" s="36" t="s">
        <v>273</v>
      </c>
      <c r="C115" s="7" t="str">
        <f>HYPERLINK("https://data.sopsr.sk/chranene-objekty/chranene-uzemia/detail/SKUEV0127","Temešská skala")</f>
        <v>Temešská skala</v>
      </c>
      <c r="D115" s="33">
        <v>165.05930000000001</v>
      </c>
      <c r="E115" s="44" t="str">
        <f>HYPERLINK("https://natura2000.sopsr.sk/lokality/uev/lokality-uev/?uev=SKUEV0127","Odkaz")</f>
        <v>Odkaz</v>
      </c>
      <c r="F115" s="44" t="str">
        <f>HYPERLINK("https://natura2000.sopsr.sk/wp-content/uploads/natura/legislativa/uev/ciele/SKUEV0127.docx","Spracované")</f>
        <v>Spracované</v>
      </c>
      <c r="G115" s="8" t="s">
        <v>23</v>
      </c>
      <c r="H115" s="10" t="s">
        <v>11</v>
      </c>
      <c r="I115" s="9" t="s">
        <v>222</v>
      </c>
      <c r="J115" s="10" t="s">
        <v>47</v>
      </c>
      <c r="K115" s="38">
        <v>100</v>
      </c>
    </row>
    <row r="116" spans="1:11" x14ac:dyDescent="0.25">
      <c r="A116" s="6" t="s">
        <v>274</v>
      </c>
      <c r="B116" s="36" t="s">
        <v>275</v>
      </c>
      <c r="C116" s="7" t="str">
        <f>HYPERLINK("https://data.sopsr.sk/chranene-objekty/chranene-uzemia/detail/SKUEV0128","Rokoš")</f>
        <v>Rokoš</v>
      </c>
      <c r="D116" s="33">
        <v>5690.7689</v>
      </c>
      <c r="E116" s="44" t="str">
        <f>HYPERLINK("https://natura2000.sopsr.sk/lokality/uev/lokality-uev/?uev=SKUEV0128","Odkaz")</f>
        <v>Odkaz</v>
      </c>
      <c r="F116" s="44" t="str">
        <f>HYPERLINK("https://natura2000.sopsr.sk/wp-content/uploads/natura/legislativa/uev/ciele/SKUEV0128.docx","Spracované")</f>
        <v>Spracované</v>
      </c>
      <c r="G116" s="10" t="s">
        <v>10</v>
      </c>
      <c r="H116" s="10" t="s">
        <v>11</v>
      </c>
      <c r="I116" s="9" t="s">
        <v>222</v>
      </c>
      <c r="J116" s="10" t="s">
        <v>47</v>
      </c>
      <c r="K116" s="38">
        <v>10.09</v>
      </c>
    </row>
    <row r="117" spans="1:11" x14ac:dyDescent="0.25">
      <c r="A117" s="6" t="s">
        <v>276</v>
      </c>
      <c r="B117" s="36" t="s">
        <v>277</v>
      </c>
      <c r="C117" s="7" t="str">
        <f>HYPERLINK("https://data.sopsr.sk/chranene-objekty/chranene-uzemia/detail/SKUEV0129","Cerovina")</f>
        <v>Cerovina</v>
      </c>
      <c r="D117" s="33">
        <v>355.18270000000001</v>
      </c>
      <c r="E117" s="44" t="str">
        <f>HYPERLINK("https://natura2000.sopsr.sk/lokality/uev/lokality-uev/?uev=SKUEV0129","Odkaz")</f>
        <v>Odkaz</v>
      </c>
      <c r="F117" s="44" t="str">
        <f>HYPERLINK("https://natura2000.sopsr.sk/wp-content/uploads/natura/legislativa/uev/ciele/SKUEV0129.docx","Spracované")</f>
        <v>Spracované</v>
      </c>
      <c r="G117" s="10" t="s">
        <v>10</v>
      </c>
      <c r="H117" s="9" t="s">
        <v>20</v>
      </c>
      <c r="I117" s="9" t="s">
        <v>58</v>
      </c>
      <c r="J117" s="10" t="s">
        <v>47</v>
      </c>
      <c r="K117" s="38">
        <v>0</v>
      </c>
    </row>
    <row r="118" spans="1:11" x14ac:dyDescent="0.25">
      <c r="A118" s="6" t="s">
        <v>278</v>
      </c>
      <c r="B118" s="36" t="s">
        <v>279</v>
      </c>
      <c r="C118" s="7" t="str">
        <f>HYPERLINK("https://data.sopsr.sk/chranene-objekty/chranene-uzemia/detail/SKUEV0130","Zobor")</f>
        <v>Zobor</v>
      </c>
      <c r="D118" s="33">
        <v>1906.9392</v>
      </c>
      <c r="E118" s="44" t="str">
        <f>HYPERLINK("https://natura2000.sopsr.sk/lokality/uev/lokality-uev/?uev=SKUEV0130","Odkaz")</f>
        <v>Odkaz</v>
      </c>
      <c r="F118" s="44" t="str">
        <f>HYPERLINK("https://natura2000.sopsr.sk/wp-content/uploads/natura/legislativa/uev/ciele/SKUEV0130.docx","Spracované")</f>
        <v>Spracované</v>
      </c>
      <c r="G118" s="10" t="s">
        <v>10</v>
      </c>
      <c r="H118" s="10" t="s">
        <v>11</v>
      </c>
      <c r="I118" s="9" t="s">
        <v>58</v>
      </c>
      <c r="J118" s="10" t="s">
        <v>47</v>
      </c>
      <c r="K118" s="38">
        <v>99.21</v>
      </c>
    </row>
    <row r="119" spans="1:11" x14ac:dyDescent="0.25">
      <c r="A119" s="6" t="s">
        <v>280</v>
      </c>
      <c r="B119" s="36" t="s">
        <v>281</v>
      </c>
      <c r="C119" s="7" t="str">
        <f>HYPERLINK("https://data.sopsr.sk/chranene-objekty/chranene-uzemia/detail/SKUEV0131","Gýmeš")</f>
        <v>Gýmeš</v>
      </c>
      <c r="D119" s="33">
        <v>70.234499999999997</v>
      </c>
      <c r="E119" s="44" t="str">
        <f>HYPERLINK("https://natura2000.sopsr.sk/lokality/uev/lokality-uev/?uev=SKUEV0131","Odkaz")</f>
        <v>Odkaz</v>
      </c>
      <c r="F119" s="44" t="str">
        <f>HYPERLINK("https://natura2000.sopsr.sk/wp-content/uploads/natura/legislativa/uev/ciele/SKUEV0131.docx","Spracované")</f>
        <v>Spracované</v>
      </c>
      <c r="G119" s="10" t="s">
        <v>10</v>
      </c>
      <c r="H119" s="10" t="s">
        <v>11</v>
      </c>
      <c r="I119" s="9" t="s">
        <v>58</v>
      </c>
      <c r="J119" s="10" t="s">
        <v>47</v>
      </c>
      <c r="K119" s="38">
        <v>100</v>
      </c>
    </row>
    <row r="120" spans="1:11" x14ac:dyDescent="0.25">
      <c r="A120" s="6" t="s">
        <v>282</v>
      </c>
      <c r="B120" s="36" t="s">
        <v>283</v>
      </c>
      <c r="C120" s="7" t="str">
        <f>HYPERLINK("https://data.sopsr.sk/chranene-objekty/chranene-uzemia/detail/SKUEV0132","Kostolianske lúky")</f>
        <v>Kostolianske lúky</v>
      </c>
      <c r="D120" s="33">
        <v>4.2066999999999997</v>
      </c>
      <c r="E120" s="44" t="str">
        <f>HYPERLINK("https://natura2000.sopsr.sk/lokality/uev/lokality-uev/?uev=SKUEV0132","Odkaz")</f>
        <v>Odkaz</v>
      </c>
      <c r="F120" s="44" t="str">
        <f>HYPERLINK("https://natura2000.sopsr.sk/wp-content/uploads/natura/legislativa/uev/ciele/SKUEV0132.docx","Spracované")</f>
        <v>Spracované</v>
      </c>
      <c r="G120" s="8" t="s">
        <v>23</v>
      </c>
      <c r="H120" s="10" t="s">
        <v>11</v>
      </c>
      <c r="I120" s="9" t="s">
        <v>58</v>
      </c>
      <c r="J120" s="10" t="s">
        <v>47</v>
      </c>
      <c r="K120" s="38">
        <v>100</v>
      </c>
    </row>
    <row r="121" spans="1:11" x14ac:dyDescent="0.25">
      <c r="A121" s="6" t="s">
        <v>284</v>
      </c>
      <c r="B121" s="36" t="s">
        <v>285</v>
      </c>
      <c r="C121" s="7" t="str">
        <f>HYPERLINK("https://data.sopsr.sk/chranene-objekty/chranene-uzemia/detail/SKUEV0133","Hôrky")</f>
        <v>Hôrky</v>
      </c>
      <c r="D121" s="33">
        <v>329.36860000000001</v>
      </c>
      <c r="E121" s="44" t="str">
        <f>HYPERLINK("https://natura2000.sopsr.sk/lokality/uev/lokality-uev/?uev=SKUEV0133","Odkaz")</f>
        <v>Odkaz</v>
      </c>
      <c r="F121" s="44" t="str">
        <f>HYPERLINK("https://natura2000.sopsr.sk/wp-content/uploads/natura/legislativa/uev/ciele/SKUEV0133.docx","Spracované")</f>
        <v>Spracované</v>
      </c>
      <c r="G121" s="10" t="s">
        <v>10</v>
      </c>
      <c r="H121" s="9" t="s">
        <v>11</v>
      </c>
      <c r="I121" s="9" t="s">
        <v>58</v>
      </c>
      <c r="J121" s="10" t="s">
        <v>47</v>
      </c>
      <c r="K121" s="38">
        <v>100</v>
      </c>
    </row>
    <row r="122" spans="1:11" x14ac:dyDescent="0.25">
      <c r="A122" s="6" t="s">
        <v>286</v>
      </c>
      <c r="B122" s="36" t="s">
        <v>287</v>
      </c>
      <c r="C122" s="7" t="str">
        <f>HYPERLINK("https://data.sopsr.sk/chranene-objekty/chranene-uzemia/detail/SKUEV0134","Kulháň")</f>
        <v>Kulháň</v>
      </c>
      <c r="D122" s="33">
        <v>129.13030000000001</v>
      </c>
      <c r="E122" s="44" t="str">
        <f>HYPERLINK("https://natura2000.sopsr.sk/lokality/uev/lokality-uev/?uev=SKUEV0134","Odkaz")</f>
        <v>Odkaz</v>
      </c>
      <c r="F122" s="44" t="str">
        <f>HYPERLINK("https://natura2000.sopsr.sk/wp-content/uploads/natura/legislativa/uev/ciele/SKUEV0134.docx","Spracované")</f>
        <v>Spracované</v>
      </c>
      <c r="G122" s="45" t="s">
        <v>23</v>
      </c>
      <c r="H122" s="10" t="s">
        <v>11</v>
      </c>
      <c r="I122" s="9" t="s">
        <v>288</v>
      </c>
      <c r="J122" s="10" t="s">
        <v>47</v>
      </c>
      <c r="K122" s="38">
        <v>100</v>
      </c>
    </row>
    <row r="123" spans="1:11" x14ac:dyDescent="0.25">
      <c r="A123" s="6" t="s">
        <v>289</v>
      </c>
      <c r="B123" s="36" t="s">
        <v>290</v>
      </c>
      <c r="C123" s="7" t="str">
        <f>HYPERLINK("https://data.sopsr.sk/chranene-objekty/chranene-uzemia/detail/SKUEV0135","Bočina")</f>
        <v>Bočina</v>
      </c>
      <c r="D123" s="33">
        <v>45.227800000000002</v>
      </c>
      <c r="E123" s="44" t="str">
        <f>HYPERLINK("https://natura2000.sopsr.sk/lokality/uev/lokality-uev/?uev=SKUEV0135","Odkaz")</f>
        <v>Odkaz</v>
      </c>
      <c r="F123" s="44" t="str">
        <f>HYPERLINK("https://natura2000.sopsr.sk/wp-content/uploads/natura/legislativa/uev/ciele/SKUEV0135.docx","Spracované")</f>
        <v>Spracované</v>
      </c>
      <c r="G123" s="8" t="s">
        <v>140</v>
      </c>
      <c r="H123" s="10" t="s">
        <v>11</v>
      </c>
      <c r="I123" s="9" t="s">
        <v>58</v>
      </c>
      <c r="J123" s="10" t="s">
        <v>47</v>
      </c>
      <c r="K123" s="38">
        <v>0</v>
      </c>
    </row>
    <row r="124" spans="1:11" x14ac:dyDescent="0.25">
      <c r="A124" s="6" t="s">
        <v>291</v>
      </c>
      <c r="B124" s="36" t="s">
        <v>292</v>
      </c>
      <c r="C124" s="7" t="str">
        <f>HYPERLINK("https://data.sopsr.sk/chranene-objekty/chranene-uzemia/detail/SKUEV0136","Dolné lazy")</f>
        <v>Dolné lazy</v>
      </c>
      <c r="D124" s="33">
        <v>6.5618999999999996</v>
      </c>
      <c r="E124" s="44" t="str">
        <f>HYPERLINK("https://natura2000.sopsr.sk/lokality/uev/lokality-uev/?uev=SKUEV0136","Odkaz")</f>
        <v>Odkaz</v>
      </c>
      <c r="F124" s="44" t="str">
        <f>HYPERLINK("https://natura2000.sopsr.sk/wp-content/uploads/natura/legislativa/uev/ciele/SKUEV0136.docx","Spracované")</f>
        <v>Spracované</v>
      </c>
      <c r="G124" s="8" t="s">
        <v>23</v>
      </c>
      <c r="H124" s="10" t="s">
        <v>11</v>
      </c>
      <c r="I124" s="9" t="s">
        <v>58</v>
      </c>
      <c r="J124" s="10" t="s">
        <v>47</v>
      </c>
      <c r="K124" s="38">
        <v>100</v>
      </c>
    </row>
    <row r="125" spans="1:11" x14ac:dyDescent="0.25">
      <c r="A125" s="6" t="s">
        <v>293</v>
      </c>
      <c r="B125" s="36" t="s">
        <v>294</v>
      </c>
      <c r="C125" s="7" t="str">
        <f>HYPERLINK("https://data.sopsr.sk/chranene-objekty/chranene-uzemia/detail/SKUEV0137","Záhrada")</f>
        <v>Záhrada</v>
      </c>
      <c r="D125" s="33">
        <v>20.0639</v>
      </c>
      <c r="E125" s="44" t="str">
        <f>HYPERLINK("https://natura2000.sopsr.sk/lokality/uev/lokality-uev/?uev=SKUEV0137","Odkaz")</f>
        <v>Odkaz</v>
      </c>
      <c r="F125" s="44" t="str">
        <f>HYPERLINK("https://natura2000.sopsr.sk/wp-content/uploads/natura/legislativa/uev/ciele/SKUEV0137.docx","Spracované")</f>
        <v>Spracované</v>
      </c>
      <c r="G125" s="8" t="s">
        <v>23</v>
      </c>
      <c r="H125" s="9" t="s">
        <v>11</v>
      </c>
      <c r="I125" s="9" t="s">
        <v>58</v>
      </c>
      <c r="J125" s="10" t="s">
        <v>47</v>
      </c>
      <c r="K125" s="38">
        <v>100</v>
      </c>
    </row>
    <row r="126" spans="1:11" ht="18" customHeight="1" x14ac:dyDescent="0.25">
      <c r="A126" s="6" t="s">
        <v>295</v>
      </c>
      <c r="B126" s="36" t="s">
        <v>296</v>
      </c>
      <c r="C126" s="7" t="str">
        <f>HYPERLINK("https://data.sopsr.sk/chranene-objekty/chranene-uzemia/detail/SKUEV0138","Livinská jelšina")</f>
        <v>Livinská jelšina</v>
      </c>
      <c r="D126" s="33">
        <v>13.7212</v>
      </c>
      <c r="E126" s="44" t="str">
        <f>HYPERLINK("https://natura2000.sopsr.sk/lokality/uev/lokality-uev/?uev=SKUEV0138","Odkaz")</f>
        <v>Odkaz</v>
      </c>
      <c r="F126" s="44" t="str">
        <f>HYPERLINK("https://natura2000.sopsr.sk/wp-content/uploads/natura/legislativa/uev/ciele/SKUEV0138.docx","Spracované")</f>
        <v>Spracované</v>
      </c>
      <c r="G126" s="13" t="s">
        <v>10</v>
      </c>
      <c r="H126" s="10" t="s">
        <v>11</v>
      </c>
      <c r="I126" s="9" t="s">
        <v>222</v>
      </c>
      <c r="J126" s="10" t="s">
        <v>47</v>
      </c>
      <c r="K126" s="38">
        <v>0</v>
      </c>
    </row>
    <row r="127" spans="1:11" x14ac:dyDescent="0.25">
      <c r="A127" s="6" t="s">
        <v>297</v>
      </c>
      <c r="B127" s="36" t="s">
        <v>298</v>
      </c>
      <c r="C127" s="7" t="str">
        <f>HYPERLINK("https://data.sopsr.sk/chranene-objekty/chranene-uzemia/detail/SKUEV0139","Gánovské slaniská")</f>
        <v>Gánovské slaniská</v>
      </c>
      <c r="D127" s="33">
        <v>45.112000000000002</v>
      </c>
      <c r="E127" s="44" t="str">
        <f>HYPERLINK("https://natura2000.sopsr.sk/lokality/uev/lokality-uev/?uev=SKUEV0139","Odkaz")</f>
        <v>Odkaz</v>
      </c>
      <c r="F127" s="44" t="str">
        <f>HYPERLINK("https://natura2000.sopsr.sk/wp-content/uploads/natura/legislativa/uev/ciele/SKUEV0139.docx","Spracované")</f>
        <v>Spracované</v>
      </c>
      <c r="G127" s="10" t="s">
        <v>10</v>
      </c>
      <c r="H127" s="10" t="s">
        <v>11</v>
      </c>
      <c r="I127" s="9" t="s">
        <v>55</v>
      </c>
      <c r="J127" s="10" t="s">
        <v>299</v>
      </c>
      <c r="K127" s="38">
        <v>0</v>
      </c>
    </row>
    <row r="128" spans="1:11" x14ac:dyDescent="0.25">
      <c r="A128" s="6" t="s">
        <v>300</v>
      </c>
      <c r="B128" s="36" t="s">
        <v>301</v>
      </c>
      <c r="C128" s="7" t="str">
        <f>HYPERLINK("https://data.sopsr.sk/chranene-objekty/chranene-uzemia/detail/SKUEV0140","Spišskoteplické slatiny")</f>
        <v>Spišskoteplické slatiny</v>
      </c>
      <c r="D128" s="33">
        <v>28.015999999999998</v>
      </c>
      <c r="E128" s="44" t="str">
        <f>HYPERLINK("https://natura2000.sopsr.sk/lokality/uev/lokality-uev/?uev=SKUEV0140","Odkaz")</f>
        <v>Odkaz</v>
      </c>
      <c r="F128" s="44" t="str">
        <f>HYPERLINK("https://natura2000.sopsr.sk/wp-content/uploads/natura/legislativa/uev/ciele/SKUEV0140.docx","Spracované")</f>
        <v>Spracované</v>
      </c>
      <c r="G128" s="10" t="s">
        <v>10</v>
      </c>
      <c r="H128" s="10" t="s">
        <v>11</v>
      </c>
      <c r="I128" s="9" t="s">
        <v>55</v>
      </c>
      <c r="J128" s="10" t="s">
        <v>299</v>
      </c>
      <c r="K128" s="38">
        <v>0</v>
      </c>
    </row>
    <row r="129" spans="1:11" x14ac:dyDescent="0.25">
      <c r="A129" s="6" t="s">
        <v>302</v>
      </c>
      <c r="B129" s="36" t="s">
        <v>303</v>
      </c>
      <c r="C129" s="7" t="str">
        <f>HYPERLINK("https://data.sopsr.sk/chranene-objekty/chranene-uzemia/detail/SKUEV0141","Belá")</f>
        <v>Belá</v>
      </c>
      <c r="D129" s="33">
        <v>318.80430000000001</v>
      </c>
      <c r="E129" s="44" t="str">
        <f>HYPERLINK("https://natura2000.sopsr.sk/lokality/uev/lokality-uev/?uev=SKUEV0141","Odkaz")</f>
        <v>Odkaz</v>
      </c>
      <c r="F129" s="44" t="str">
        <f>HYPERLINK("https://natura2000.sopsr.sk/wp-content/uploads/natura/legislativa/uev/ciele/SKUEV0141.docx","Spracované")</f>
        <v>Spracované</v>
      </c>
      <c r="G129" s="10" t="s">
        <v>10</v>
      </c>
      <c r="H129" s="9" t="s">
        <v>11</v>
      </c>
      <c r="I129" s="9" t="s">
        <v>127</v>
      </c>
      <c r="J129" s="10" t="s">
        <v>299</v>
      </c>
      <c r="K129" s="38">
        <v>2</v>
      </c>
    </row>
    <row r="130" spans="1:11" x14ac:dyDescent="0.25">
      <c r="A130" s="6" t="s">
        <v>304</v>
      </c>
      <c r="B130" s="36" t="s">
        <v>305</v>
      </c>
      <c r="C130" s="7" t="str">
        <f>HYPERLINK("https://data.sopsr.sk/chranene-objekty/chranene-uzemia/detail/SKUEV0142","Hybica")</f>
        <v>Hybica</v>
      </c>
      <c r="D130" s="33">
        <v>26.0181</v>
      </c>
      <c r="E130" s="44" t="str">
        <f>HYPERLINK("https://natura2000.sopsr.sk/lokality/uev/lokality-uev/?uev=SKUEV0142","Odkaz")</f>
        <v>Odkaz</v>
      </c>
      <c r="F130" s="44" t="str">
        <f>HYPERLINK("https://natura2000.sopsr.sk/wp-content/uploads/natura/legislativa/uev/ciele/SKUEV0142.docx","Spracované")</f>
        <v>Spracované</v>
      </c>
      <c r="G130" s="10" t="s">
        <v>10</v>
      </c>
      <c r="H130" s="10" t="s">
        <v>11</v>
      </c>
      <c r="I130" s="9" t="s">
        <v>127</v>
      </c>
      <c r="J130" s="10" t="s">
        <v>299</v>
      </c>
      <c r="K130" s="38">
        <v>0</v>
      </c>
    </row>
    <row r="131" spans="1:11" x14ac:dyDescent="0.25">
      <c r="A131" s="6" t="s">
        <v>306</v>
      </c>
      <c r="B131" s="36" t="s">
        <v>307</v>
      </c>
      <c r="C131" s="7" t="str">
        <f>HYPERLINK("https://data.sopsr.sk/chranene-objekty/chranene-uzemia/detail/SKUEV0143","Biely Váh")</f>
        <v>Biely Váh</v>
      </c>
      <c r="D131" s="33">
        <v>42.427599999999998</v>
      </c>
      <c r="E131" s="44" t="str">
        <f>HYPERLINK("https://natura2000.sopsr.sk/lokality/uev/lokality-uev/?uev=SKUEV0143","Odkaz")</f>
        <v>Odkaz</v>
      </c>
      <c r="F131" s="44" t="str">
        <f>HYPERLINK("https://natura2000.sopsr.sk/wp-content/uploads/natura/legislativa/uev/ciele/SKUEV0143.docx","Spracované")</f>
        <v>Spracované</v>
      </c>
      <c r="G131" s="10" t="s">
        <v>10</v>
      </c>
      <c r="H131" s="10" t="s">
        <v>11</v>
      </c>
      <c r="I131" s="9" t="s">
        <v>127</v>
      </c>
      <c r="J131" s="10" t="s">
        <v>299</v>
      </c>
      <c r="K131" s="38">
        <v>0</v>
      </c>
    </row>
    <row r="132" spans="1:11" x14ac:dyDescent="0.25">
      <c r="A132" s="6" t="s">
        <v>308</v>
      </c>
      <c r="B132" s="36" t="s">
        <v>309</v>
      </c>
      <c r="C132" s="7" t="str">
        <f>HYPERLINK("https://data.sopsr.sk/chranene-objekty/chranene-uzemia/detail/SKUEV0144","Belianske lúky")</f>
        <v>Belianske lúky</v>
      </c>
      <c r="D132" s="33">
        <v>102.4093</v>
      </c>
      <c r="E132" s="44" t="str">
        <f>HYPERLINK("https://natura2000.sopsr.sk/lokality/uev/lokality-uev/?uev=SKUEV0144","Odkaz")</f>
        <v>Odkaz</v>
      </c>
      <c r="F132" s="44" t="str">
        <f>HYPERLINK("https://natura2000.sopsr.sk/wp-content/uploads/natura/legislativa/uev/ciele/SKUEV0144.docx","Spracované")</f>
        <v>Spracované</v>
      </c>
      <c r="G132" s="15" t="s">
        <v>10</v>
      </c>
      <c r="H132" s="10" t="s">
        <v>11</v>
      </c>
      <c r="I132" s="9" t="s">
        <v>55</v>
      </c>
      <c r="J132" s="10" t="s">
        <v>299</v>
      </c>
      <c r="K132" s="38">
        <v>85</v>
      </c>
    </row>
    <row r="133" spans="1:11" x14ac:dyDescent="0.25">
      <c r="A133" s="6" t="s">
        <v>310</v>
      </c>
      <c r="B133" s="36" t="s">
        <v>311</v>
      </c>
      <c r="C133" s="7" t="str">
        <f>HYPERLINK("https://data.sopsr.sk/chranene-objekty/chranene-uzemia/detail/SKUEV0145","Medzi bormi")</f>
        <v>Medzi bormi</v>
      </c>
      <c r="D133" s="33">
        <v>10.2774</v>
      </c>
      <c r="E133" s="44" t="str">
        <f>HYPERLINK("https://natura2000.sopsr.sk/lokality/uev/lokality-uev/?uev=SKUEV0145","Odkaz")</f>
        <v>Odkaz</v>
      </c>
      <c r="F133" s="44" t="str">
        <f>HYPERLINK("https://natura2000.sopsr.sk/wp-content/uploads/natura/legislativa/uev/ciele/SKUEV0145.docx","Spracované")</f>
        <v>Spracované</v>
      </c>
      <c r="G133" s="10" t="s">
        <v>10</v>
      </c>
      <c r="H133" s="9" t="s">
        <v>11</v>
      </c>
      <c r="I133" s="9" t="s">
        <v>127</v>
      </c>
      <c r="J133" s="10" t="s">
        <v>299</v>
      </c>
      <c r="K133" s="38">
        <v>100</v>
      </c>
    </row>
    <row r="134" spans="1:11" x14ac:dyDescent="0.25">
      <c r="A134" s="6" t="s">
        <v>312</v>
      </c>
      <c r="B134" s="36" t="s">
        <v>313</v>
      </c>
      <c r="C134" s="7" t="str">
        <f>HYPERLINK("https://data.sopsr.sk/chranene-objekty/chranene-uzemia/detail/SKUEV0146","Blatá")</f>
        <v>Blatá</v>
      </c>
      <c r="D134" s="33">
        <v>186.9057</v>
      </c>
      <c r="E134" s="44" t="str">
        <f>HYPERLINK("https://natura2000.sopsr.sk/lokality/uev/lokality-uev/?uev=SKUEV0146","Odkaz")</f>
        <v>Odkaz</v>
      </c>
      <c r="F134" s="44" t="str">
        <f>HYPERLINK("https://natura2000.sopsr.sk/wp-content/uploads/natura/legislativa/uev/ciele/SKUEV0146.docx","Spracované")</f>
        <v>Spracované</v>
      </c>
      <c r="G134" s="10" t="s">
        <v>10</v>
      </c>
      <c r="H134" s="10" t="s">
        <v>11</v>
      </c>
      <c r="I134" s="9" t="s">
        <v>55</v>
      </c>
      <c r="J134" s="10" t="s">
        <v>299</v>
      </c>
      <c r="K134" s="38">
        <v>20</v>
      </c>
    </row>
    <row r="135" spans="1:11" x14ac:dyDescent="0.25">
      <c r="A135" s="6" t="s">
        <v>314</v>
      </c>
      <c r="B135" s="36" t="s">
        <v>315</v>
      </c>
      <c r="C135" s="7" t="str">
        <f>HYPERLINK("https://data.sopsr.sk/chranene-objekty/chranene-uzemia/detail/SKUEV0147","Žarnovica")</f>
        <v>Žarnovica</v>
      </c>
      <c r="D135" s="33">
        <v>18.4069</v>
      </c>
      <c r="E135" s="44" t="str">
        <f>HYPERLINK("https://natura2000.sopsr.sk/lokality/uev/lokality-uev/?uev=SKUEV0147","Odkaz")</f>
        <v>Odkaz</v>
      </c>
      <c r="F135" s="44" t="str">
        <f>HYPERLINK("https://natura2000.sopsr.sk/wp-content/uploads/natura/legislativa/uev/ciele/SKUEV0147.docx","Spracované")</f>
        <v>Spracované</v>
      </c>
      <c r="G135" s="10" t="s">
        <v>10</v>
      </c>
      <c r="H135" s="10" t="s">
        <v>11</v>
      </c>
      <c r="I135" s="9" t="s">
        <v>127</v>
      </c>
      <c r="J135" s="10" t="s">
        <v>316</v>
      </c>
      <c r="K135" s="38">
        <v>9</v>
      </c>
    </row>
    <row r="136" spans="1:11" x14ac:dyDescent="0.25">
      <c r="A136" s="6" t="s">
        <v>317</v>
      </c>
      <c r="B136" s="36" t="s">
        <v>318</v>
      </c>
      <c r="C136" s="7" t="str">
        <f>HYPERLINK("https://data.sopsr.sk/chranene-objekty/chranene-uzemia/detail/SKUEV0148","Vlára")</f>
        <v>Vlára</v>
      </c>
      <c r="D136" s="33">
        <v>54.630600000000001</v>
      </c>
      <c r="E136" s="44" t="str">
        <f>HYPERLINK("https://natura2000.sopsr.sk/lokality/uev/lokality-uev/?uev=SKUEV0148","Odkaz")</f>
        <v>Odkaz</v>
      </c>
      <c r="F136" s="44" t="str">
        <f>HYPERLINK("https://natura2000.sopsr.sk/wp-content/uploads/natura/legislativa/uev/ciele/SKUEV0148.docx","Spracované")</f>
        <v>Spracované</v>
      </c>
      <c r="G136" s="10" t="s">
        <v>10</v>
      </c>
      <c r="H136" s="10" t="s">
        <v>11</v>
      </c>
      <c r="I136" s="9" t="s">
        <v>222</v>
      </c>
      <c r="J136" s="10" t="s">
        <v>319</v>
      </c>
      <c r="K136" s="38">
        <v>100</v>
      </c>
    </row>
    <row r="137" spans="1:11" ht="21" customHeight="1" x14ac:dyDescent="0.25">
      <c r="A137" s="6" t="s">
        <v>320</v>
      </c>
      <c r="B137" s="36" t="s">
        <v>321</v>
      </c>
      <c r="C137" s="7" t="str">
        <f>HYPERLINK("https://data.sopsr.sk/chranene-objekty/chranene-uzemia/detail/SKUEV0149","Mackov bok")</f>
        <v>Mackov bok</v>
      </c>
      <c r="D137" s="33">
        <v>12.3393</v>
      </c>
      <c r="E137" s="44" t="str">
        <f>HYPERLINK("https://natura2000.sopsr.sk/lokality/uev/lokality-uev/?uev=SKUEV0149","Odkaz")</f>
        <v>Odkaz</v>
      </c>
      <c r="F137" s="44" t="str">
        <f>HYPERLINK("https://natura2000.sopsr.sk/wp-content/uploads/natura/legislativa/uev/ciele/SKUEV0149.docx","Spracované")</f>
        <v>Spracované</v>
      </c>
      <c r="G137" s="8" t="s">
        <v>23</v>
      </c>
      <c r="H137" s="10" t="s">
        <v>11</v>
      </c>
      <c r="I137" s="10" t="s">
        <v>61</v>
      </c>
      <c r="J137" s="10" t="s">
        <v>131</v>
      </c>
      <c r="K137" s="38">
        <v>100</v>
      </c>
    </row>
    <row r="138" spans="1:11" x14ac:dyDescent="0.25">
      <c r="A138" s="6" t="s">
        <v>322</v>
      </c>
      <c r="B138" s="36" t="s">
        <v>323</v>
      </c>
      <c r="C138" s="7" t="str">
        <f>HYPERLINK("https://data.sopsr.sk/chranene-objekty/chranene-uzemia/detail/SKUEV0150","Červený grúň")</f>
        <v>Červený grúň</v>
      </c>
      <c r="D138" s="33">
        <v>246.267</v>
      </c>
      <c r="E138" s="44" t="str">
        <f>HYPERLINK("https://natura2000.sopsr.sk/lokality/uev/lokality-uev/?uev=SKUEV0150","Odkaz")</f>
        <v>Odkaz</v>
      </c>
      <c r="F138" s="44" t="str">
        <f>HYPERLINK("https://natura2000.sopsr.sk/wp-content/uploads/natura/legislativa/uev/ciele/SKUEV0150.docx","Spracované")</f>
        <v>Spracované</v>
      </c>
      <c r="G138" s="10" t="s">
        <v>10</v>
      </c>
      <c r="H138" s="10" t="s">
        <v>11</v>
      </c>
      <c r="I138" s="9" t="s">
        <v>127</v>
      </c>
      <c r="J138" s="10" t="s">
        <v>131</v>
      </c>
      <c r="K138" s="38">
        <v>100</v>
      </c>
    </row>
    <row r="139" spans="1:11" x14ac:dyDescent="0.25">
      <c r="A139" s="6" t="s">
        <v>324</v>
      </c>
      <c r="B139" s="36" t="s">
        <v>325</v>
      </c>
      <c r="C139" s="7" t="str">
        <f>HYPERLINK("https://data.sopsr.sk/chranene-objekty/chranene-uzemia/detail/SKUEV0151","Pohorelské vrchovisko")</f>
        <v>Pohorelské vrchovisko</v>
      </c>
      <c r="D139" s="33">
        <v>20.143799999999999</v>
      </c>
      <c r="E139" s="44" t="str">
        <f>HYPERLINK("https://natura2000.sopsr.sk/lokality/uev/lokality-uev/?uev=SKUEV0151","Odkaz")</f>
        <v>Odkaz</v>
      </c>
      <c r="F139" s="44" t="str">
        <f>HYPERLINK("https://natura2000.sopsr.sk/wp-content/uploads/natura/legislativa/uev/ciele/SKUEV0151.docx","Spracované")</f>
        <v>Spracované</v>
      </c>
      <c r="G139" s="10" t="s">
        <v>10</v>
      </c>
      <c r="H139" s="10" t="s">
        <v>11</v>
      </c>
      <c r="I139" s="10" t="s">
        <v>61</v>
      </c>
      <c r="J139" s="10" t="s">
        <v>131</v>
      </c>
      <c r="K139" s="38">
        <v>100</v>
      </c>
    </row>
    <row r="140" spans="1:11" x14ac:dyDescent="0.25">
      <c r="A140" s="6" t="s">
        <v>326</v>
      </c>
      <c r="B140" s="36" t="s">
        <v>327</v>
      </c>
      <c r="C140" s="7" t="str">
        <f>HYPERLINK("https://data.sopsr.sk/chranene-objekty/chranene-uzemia/detail/SKUEV0152","Sliačske travertíny")</f>
        <v>Sliačske travertíny</v>
      </c>
      <c r="D140" s="33">
        <v>7.2305999999999999</v>
      </c>
      <c r="E140" s="44" t="str">
        <f>HYPERLINK("https://natura2000.sopsr.sk/lokality/uev/lokality-uev/?uev=SKUEV0152","Odkaz")</f>
        <v>Odkaz</v>
      </c>
      <c r="F140" s="44" t="str">
        <f>HYPERLINK("https://natura2000.sopsr.sk/wp-content/uploads/natura/legislativa/uev/ciele/SKUEV0152.docx","Spracované")</f>
        <v>Spracované</v>
      </c>
      <c r="G140" s="10" t="s">
        <v>10</v>
      </c>
      <c r="H140" s="10" t="s">
        <v>11</v>
      </c>
      <c r="I140" s="9" t="s">
        <v>127</v>
      </c>
      <c r="J140" s="10" t="s">
        <v>131</v>
      </c>
      <c r="K140" s="38">
        <v>100</v>
      </c>
    </row>
    <row r="141" spans="1:11" x14ac:dyDescent="0.25">
      <c r="A141" s="6" t="s">
        <v>328</v>
      </c>
      <c r="B141" s="36" t="s">
        <v>329</v>
      </c>
      <c r="C141" s="7" t="str">
        <f>HYPERLINK("https://data.sopsr.sk/chranene-objekty/chranene-uzemia/detail/SKUEV0153","Horné lazy")</f>
        <v>Horné lazy</v>
      </c>
      <c r="D141" s="33">
        <v>37.902000000000001</v>
      </c>
      <c r="E141" s="44" t="str">
        <f>HYPERLINK("https://natura2000.sopsr.sk/lokality/uev/lokality-uev/?uev=SKUEV0153","Odkaz")</f>
        <v>Odkaz</v>
      </c>
      <c r="F141" s="44" t="str">
        <f>HYPERLINK("https://natura2000.sopsr.sk/wp-content/uploads/natura/legislativa/uev/ciele/SKUEV0153.docx","Spracované")</f>
        <v>Spracované</v>
      </c>
      <c r="G141" s="10" t="s">
        <v>10</v>
      </c>
      <c r="H141" s="10" t="s">
        <v>11</v>
      </c>
      <c r="I141" s="10" t="s">
        <v>61</v>
      </c>
      <c r="J141" s="10" t="s">
        <v>131</v>
      </c>
      <c r="K141" s="38">
        <v>100</v>
      </c>
    </row>
    <row r="142" spans="1:11" x14ac:dyDescent="0.25">
      <c r="A142" s="6" t="s">
        <v>330</v>
      </c>
      <c r="B142" s="36" t="s">
        <v>331</v>
      </c>
      <c r="C142" s="7" t="str">
        <f>HYPERLINK("https://data.sopsr.sk/chranene-objekty/chranene-uzemia/detail/SKUEV0154","Suchá dolina")</f>
        <v>Suchá dolina</v>
      </c>
      <c r="D142" s="33">
        <v>3.1044999999999998</v>
      </c>
      <c r="E142" s="44" t="str">
        <f>HYPERLINK("https://natura2000.sopsr.sk/lokality/uev/lokality-uev/?uev=SKUEV0154","Odkaz")</f>
        <v>Odkaz</v>
      </c>
      <c r="F142" s="44" t="str">
        <f>HYPERLINK("https://natura2000.sopsr.sk/wp-content/uploads/natura/legislativa/uev/ciele/SKUEV0154.docx","Spracované")</f>
        <v>Spracované</v>
      </c>
      <c r="G142" s="10" t="s">
        <v>10</v>
      </c>
      <c r="H142" s="10" t="s">
        <v>11</v>
      </c>
      <c r="I142" s="10" t="s">
        <v>61</v>
      </c>
      <c r="J142" s="10" t="s">
        <v>131</v>
      </c>
      <c r="K142" s="38">
        <v>100</v>
      </c>
    </row>
    <row r="143" spans="1:11" x14ac:dyDescent="0.25">
      <c r="A143" s="6" t="s">
        <v>332</v>
      </c>
      <c r="B143" s="36" t="s">
        <v>333</v>
      </c>
      <c r="C143" s="7" t="str">
        <f>HYPERLINK("https://data.sopsr.sk/chranene-objekty/chranene-uzemia/detail/SKUEV0155","Alúvium Starej Nitry")</f>
        <v>Alúvium Starej Nitry</v>
      </c>
      <c r="D143" s="33">
        <v>576.14120000000003</v>
      </c>
      <c r="E143" s="44" t="str">
        <f>HYPERLINK("https://natura2000.sopsr.sk/lokality/uev/lokality-uev/?uev=SKUEV0155","Odkaz")</f>
        <v>Odkaz</v>
      </c>
      <c r="F143" s="44" t="str">
        <f>HYPERLINK("https://natura2000.sopsr.sk/wp-content/uploads/natura/legislativa/uev/ciele/SKUEV0155.docx","Spracované")</f>
        <v>Spracované</v>
      </c>
      <c r="G143" s="10" t="s">
        <v>10</v>
      </c>
      <c r="H143" s="9" t="s">
        <v>20</v>
      </c>
      <c r="I143" s="9" t="s">
        <v>58</v>
      </c>
      <c r="J143" s="10" t="s">
        <v>40</v>
      </c>
      <c r="K143" s="38">
        <v>0</v>
      </c>
    </row>
    <row r="144" spans="1:11" x14ac:dyDescent="0.25">
      <c r="A144" s="6" t="s">
        <v>334</v>
      </c>
      <c r="B144" s="36" t="s">
        <v>335</v>
      </c>
      <c r="C144" s="7" t="str">
        <f>HYPERLINK("https://data.sopsr.sk/chranene-objekty/chranene-uzemia/detail/SKUEV0156","Konopiská")</f>
        <v>Konopiská</v>
      </c>
      <c r="D144" s="33">
        <v>7.6239999999999997</v>
      </c>
      <c r="E144" s="44" t="str">
        <f>HYPERLINK("https://natura2000.sopsr.sk/lokality/uev/lokality-uev/?uev=SKUEV0156","Odkaz")</f>
        <v>Odkaz</v>
      </c>
      <c r="F144" s="44" t="str">
        <f>HYPERLINK("https://natura2000.sopsr.sk/wp-content/uploads/natura/legislativa/uev/ciele/SKUEV0156.docx","Spracované")</f>
        <v>Spracované</v>
      </c>
      <c r="G144" s="10" t="s">
        <v>10</v>
      </c>
      <c r="H144" s="9" t="s">
        <v>20</v>
      </c>
      <c r="I144" s="9" t="s">
        <v>167</v>
      </c>
      <c r="J144" s="10" t="s">
        <v>40</v>
      </c>
      <c r="K144" s="38">
        <v>100</v>
      </c>
    </row>
    <row r="145" spans="1:11" x14ac:dyDescent="0.25">
      <c r="A145" s="6" t="s">
        <v>336</v>
      </c>
      <c r="B145" s="36" t="s">
        <v>337</v>
      </c>
      <c r="C145" s="7" t="str">
        <f>HYPERLINK("https://data.sopsr.sk/chranene-objekty/chranene-uzemia/detail/SKUEV0157","Starý vrch")</f>
        <v>Starý vrch</v>
      </c>
      <c r="D145" s="33">
        <v>34.574100000000001</v>
      </c>
      <c r="E145" s="44" t="str">
        <f>HYPERLINK("https://natura2000.sopsr.sk/lokality/uev/lokality-uev/?uev=SKUEV0157","Odkaz")</f>
        <v>Odkaz</v>
      </c>
      <c r="F145" s="44" t="str">
        <f>HYPERLINK("https://natura2000.sopsr.sk/wp-content/uploads/natura/legislativa/uev/ciele/SKUEV0157.docx","Spracované")</f>
        <v>Spracované</v>
      </c>
      <c r="G145" s="10" t="s">
        <v>10</v>
      </c>
      <c r="H145" s="9" t="s">
        <v>20</v>
      </c>
      <c r="I145" s="9" t="s">
        <v>58</v>
      </c>
      <c r="J145" s="10" t="s">
        <v>40</v>
      </c>
      <c r="K145" s="38">
        <v>0</v>
      </c>
    </row>
    <row r="146" spans="1:11" x14ac:dyDescent="0.25">
      <c r="A146" s="6" t="s">
        <v>338</v>
      </c>
      <c r="B146" s="36" t="s">
        <v>339</v>
      </c>
      <c r="C146" s="7" t="str">
        <f>HYPERLINK("https://data.sopsr.sk/chranene-objekty/chranene-uzemia/detail/SKUEV0158","Modrý vrch")</f>
        <v>Modrý vrch</v>
      </c>
      <c r="D146" s="33">
        <v>147.65020000000001</v>
      </c>
      <c r="E146" s="44" t="str">
        <f>HYPERLINK("https://natura2000.sopsr.sk/lokality/uev/lokality-uev/?uev=SKUEV0158","Odkaz")</f>
        <v>Odkaz</v>
      </c>
      <c r="F146" s="44" t="str">
        <f>HYPERLINK("https://natura2000.sopsr.sk/wp-content/uploads/natura/legislativa/uev/ciele/SKUEV0158.docx","Spracované")</f>
        <v>Spracované</v>
      </c>
      <c r="G146" s="10" t="s">
        <v>10</v>
      </c>
      <c r="H146" s="9" t="s">
        <v>20</v>
      </c>
      <c r="I146" s="9" t="s">
        <v>58</v>
      </c>
      <c r="J146" s="10" t="s">
        <v>40</v>
      </c>
      <c r="K146" s="38">
        <v>1</v>
      </c>
    </row>
    <row r="147" spans="1:11" x14ac:dyDescent="0.25">
      <c r="A147" s="6" t="s">
        <v>340</v>
      </c>
      <c r="B147" s="36" t="s">
        <v>341</v>
      </c>
      <c r="C147" s="7" t="str">
        <f>HYPERLINK("https://data.sopsr.sk/chranene-objekty/chranene-uzemia/detail/SKUEV0159","Alúvium Žitavy")</f>
        <v>Alúvium Žitavy</v>
      </c>
      <c r="D147" s="33">
        <v>46.398400000000002</v>
      </c>
      <c r="E147" s="44" t="str">
        <f>HYPERLINK("https://natura2000.sopsr.sk/lokality/uev/lokality-uev/?uev=SKUEV0159","Odkaz")</f>
        <v>Odkaz</v>
      </c>
      <c r="F147" s="44" t="str">
        <f>HYPERLINK("https://natura2000.sopsr.sk/wp-content/uploads/natura/legislativa/uev/ciele/SKUEV0159.docx","Spracované")</f>
        <v>Spracované</v>
      </c>
      <c r="G147" s="10" t="s">
        <v>10</v>
      </c>
      <c r="H147" s="9" t="s">
        <v>20</v>
      </c>
      <c r="I147" s="9" t="s">
        <v>58</v>
      </c>
      <c r="J147" s="10" t="s">
        <v>40</v>
      </c>
      <c r="K147" s="38">
        <v>100</v>
      </c>
    </row>
    <row r="148" spans="1:11" x14ac:dyDescent="0.25">
      <c r="A148" s="6" t="s">
        <v>342</v>
      </c>
      <c r="B148" s="36" t="s">
        <v>343</v>
      </c>
      <c r="C148" s="7" t="str">
        <f>HYPERLINK("https://data.sopsr.sk/chranene-objekty/chranene-uzemia/detail/SKUEV0160","Karáb")</f>
        <v>Karáb</v>
      </c>
      <c r="D148" s="33">
        <v>89.381600000000006</v>
      </c>
      <c r="E148" s="44" t="str">
        <f>HYPERLINK("https://natura2000.sopsr.sk/lokality/uev/lokality-uev/?uev=SKUEV0160","Odkaz")</f>
        <v>Odkaz</v>
      </c>
      <c r="F148" s="44" t="str">
        <f>HYPERLINK("https://natura2000.sopsr.sk/wp-content/uploads/natura/legislativa/uev/ciele/SKUEV0160.docx","Spracované")</f>
        <v>Spracované</v>
      </c>
      <c r="G148" s="10" t="s">
        <v>10</v>
      </c>
      <c r="H148" s="9" t="s">
        <v>20</v>
      </c>
      <c r="I148" s="9" t="s">
        <v>167</v>
      </c>
      <c r="J148" s="10" t="s">
        <v>40</v>
      </c>
      <c r="K148" s="38">
        <v>0</v>
      </c>
    </row>
    <row r="149" spans="1:11" x14ac:dyDescent="0.25">
      <c r="A149" s="6" t="s">
        <v>344</v>
      </c>
      <c r="B149" s="36" t="s">
        <v>345</v>
      </c>
      <c r="C149" s="7" t="str">
        <f>HYPERLINK("https://data.sopsr.sk/chranene-objekty/chranene-uzemia/detail/SKUEV0161","Suchohradské alúvium Moravy")</f>
        <v>Suchohradské alúvium Moravy</v>
      </c>
      <c r="D149" s="33">
        <v>93.601500000000001</v>
      </c>
      <c r="E149" s="44" t="str">
        <f>HYPERLINK("https://natura2000.sopsr.sk/lokality/uev/lokality-uev/?uev=SKUEV0161","Odkaz")</f>
        <v>Odkaz</v>
      </c>
      <c r="F149" s="44" t="str">
        <f>HYPERLINK("https://natura2000.sopsr.sk/wp-content/uploads/natura/legislativa/uev/ciele/SKUEV0161.docx","Spracované")</f>
        <v>Spracované</v>
      </c>
      <c r="G149" s="10" t="s">
        <v>10</v>
      </c>
      <c r="H149" s="9" t="s">
        <v>20</v>
      </c>
      <c r="I149" s="10" t="s">
        <v>146</v>
      </c>
      <c r="J149" s="10" t="s">
        <v>250</v>
      </c>
      <c r="K149" s="38">
        <v>100</v>
      </c>
    </row>
    <row r="150" spans="1:11" x14ac:dyDescent="0.25">
      <c r="A150" s="6" t="s">
        <v>346</v>
      </c>
      <c r="B150" s="36" t="s">
        <v>347</v>
      </c>
      <c r="C150" s="7" t="str">
        <f>HYPERLINK("https://data.sopsr.sk/chranene-objekty/chranene-uzemia/detail/SKUEV0162","Grgás")</f>
        <v>Grgás</v>
      </c>
      <c r="D150" s="33">
        <v>46.8538</v>
      </c>
      <c r="E150" s="44" t="str">
        <f>HYPERLINK("https://natura2000.sopsr.sk/lokality/uev/lokality-uev/?uev=SKUEV0162","Odkaz")</f>
        <v>Odkaz</v>
      </c>
      <c r="F150" s="44" t="str">
        <f>HYPERLINK("https://natura2000.sopsr.sk/wp-content/uploads/natura/legislativa/uev/ciele/SKUEV0162.docx","Spracované")</f>
        <v>Spracované</v>
      </c>
      <c r="G150" s="10" t="s">
        <v>10</v>
      </c>
      <c r="H150" s="9" t="s">
        <v>20</v>
      </c>
      <c r="I150" s="9" t="s">
        <v>167</v>
      </c>
      <c r="J150" s="10" t="s">
        <v>250</v>
      </c>
      <c r="K150" s="38">
        <v>100</v>
      </c>
    </row>
    <row r="151" spans="1:11" x14ac:dyDescent="0.25">
      <c r="A151" s="6" t="s">
        <v>348</v>
      </c>
      <c r="B151" s="36" t="s">
        <v>349</v>
      </c>
      <c r="C151" s="7" t="str">
        <f>HYPERLINK("https://data.sopsr.sk/chranene-objekty/chranene-uzemia/detail/SKUEV0163","Rudava")</f>
        <v>Rudava</v>
      </c>
      <c r="D151" s="33">
        <v>1964.4396999999999</v>
      </c>
      <c r="E151" s="44" t="str">
        <f>HYPERLINK("https://natura2000.sopsr.sk/lokality/uev/lokality-uev/?uev=SKUEV0163","Odkaz")</f>
        <v>Odkaz</v>
      </c>
      <c r="F151" s="44" t="str">
        <f>HYPERLINK("https://natura2000.sopsr.sk/wp-content/uploads/natura/legislativa/uev/ciele/SKUEV0163.docx","Spracované")</f>
        <v>Spracované</v>
      </c>
      <c r="G151" s="15" t="s">
        <v>10</v>
      </c>
      <c r="H151" s="9" t="s">
        <v>91</v>
      </c>
      <c r="I151" s="10" t="s">
        <v>350</v>
      </c>
      <c r="J151" s="10" t="s">
        <v>250</v>
      </c>
      <c r="K151" s="38">
        <v>100</v>
      </c>
    </row>
    <row r="152" spans="1:11" x14ac:dyDescent="0.25">
      <c r="A152" s="6" t="s">
        <v>351</v>
      </c>
      <c r="B152" s="36" t="s">
        <v>352</v>
      </c>
      <c r="C152" s="7" t="str">
        <f>HYPERLINK("https://data.sopsr.sk/chranene-objekty/chranene-uzemia/detail/SKUEV0164","Revúca")</f>
        <v>Revúca</v>
      </c>
      <c r="D152" s="33">
        <v>37.466799999999999</v>
      </c>
      <c r="E152" s="44" t="str">
        <f>HYPERLINK("https://natura2000.sopsr.sk/lokality/uev/lokality-uev/?uev=SKUEV0164","Odkaz")</f>
        <v>Odkaz</v>
      </c>
      <c r="F152" s="44" t="str">
        <f>HYPERLINK("https://natura2000.sopsr.sk/wp-content/uploads/natura/legislativa/uev/ciele/SKUEV0164.docx","Spracované")</f>
        <v>Spracované</v>
      </c>
      <c r="G152" s="10" t="s">
        <v>10</v>
      </c>
      <c r="H152" s="10" t="s">
        <v>11</v>
      </c>
      <c r="I152" s="9" t="s">
        <v>127</v>
      </c>
      <c r="J152" s="10" t="s">
        <v>316</v>
      </c>
      <c r="K152" s="38">
        <v>100</v>
      </c>
    </row>
    <row r="153" spans="1:11" x14ac:dyDescent="0.25">
      <c r="A153" s="6" t="s">
        <v>353</v>
      </c>
      <c r="B153" s="36" t="s">
        <v>354</v>
      </c>
      <c r="C153" s="7" t="str">
        <f>HYPERLINK("https://data.sopsr.sk/chranene-objekty/chranene-uzemia/detail/SKUEV0165","Kútsky les")</f>
        <v>Kútsky les</v>
      </c>
      <c r="D153" s="33">
        <v>413.71890000000002</v>
      </c>
      <c r="E153" s="44" t="str">
        <f>HYPERLINK("https://natura2000.sopsr.sk/lokality/uev/lokality-uev/?uev=SKUEV0165","Odkaz")</f>
        <v>Odkaz</v>
      </c>
      <c r="F153" s="44" t="str">
        <f>HYPERLINK("https://natura2000.sopsr.sk/wp-content/uploads/natura/legislativa/uev/ciele/SKUEV0165.docx","Spracované")</f>
        <v>Spracované</v>
      </c>
      <c r="G153" s="10" t="s">
        <v>10</v>
      </c>
      <c r="H153" s="9" t="s">
        <v>20</v>
      </c>
      <c r="I153" s="9" t="s">
        <v>167</v>
      </c>
      <c r="J153" s="10" t="s">
        <v>250</v>
      </c>
      <c r="K153" s="38">
        <v>0</v>
      </c>
    </row>
    <row r="154" spans="1:11" x14ac:dyDescent="0.25">
      <c r="A154" s="6" t="s">
        <v>355</v>
      </c>
      <c r="B154" s="36" t="s">
        <v>356</v>
      </c>
      <c r="C154" s="7" t="str">
        <f>HYPERLINK("https://data.sopsr.sk/chranene-objekty/chranene-uzemia/detail/SKUEV0166","Ciglát")</f>
        <v>Ciglát</v>
      </c>
      <c r="D154" s="33">
        <v>176.65649999999999</v>
      </c>
      <c r="E154" s="44" t="str">
        <f>HYPERLINK("https://natura2000.sopsr.sk/lokality/uev/lokality-uev/?uev=SKUEV0166","Odkaz")</f>
        <v>Odkaz</v>
      </c>
      <c r="F154" s="44" t="str">
        <f>HYPERLINK("https://natura2000.sopsr.sk/wp-content/uploads/natura/legislativa/uev/ciele/SKUEV0166.docx","Spracované")</f>
        <v>Spracované</v>
      </c>
      <c r="G154" s="10" t="s">
        <v>10</v>
      </c>
      <c r="H154" s="9" t="s">
        <v>20</v>
      </c>
      <c r="I154" s="10" t="s">
        <v>357</v>
      </c>
      <c r="J154" s="10" t="s">
        <v>250</v>
      </c>
      <c r="K154" s="38">
        <v>100</v>
      </c>
    </row>
    <row r="155" spans="1:11" x14ac:dyDescent="0.25">
      <c r="A155" s="6" t="s">
        <v>358</v>
      </c>
      <c r="B155" s="36" t="s">
        <v>359</v>
      </c>
      <c r="C155" s="7" t="str">
        <f>HYPERLINK("https://data.sopsr.sk/chranene-objekty/chranene-uzemia/detail/SKUEV0167","Bezodné")</f>
        <v>Bezodné</v>
      </c>
      <c r="D155" s="33">
        <v>65.447199999999995</v>
      </c>
      <c r="E155" s="44" t="str">
        <f>HYPERLINK("https://natura2000.sopsr.sk/lokality/uev/lokality-uev/?uev=SKUEV0167","Odkaz")</f>
        <v>Odkaz</v>
      </c>
      <c r="F155" s="44" t="str">
        <f>HYPERLINK("https://natura2000.sopsr.sk/wp-content/uploads/natura/legislativa/uev/ciele/SKUEV0167.docx","Spracované")</f>
        <v>Spracované</v>
      </c>
      <c r="G155" s="10" t="s">
        <v>10</v>
      </c>
      <c r="H155" s="9" t="s">
        <v>20</v>
      </c>
      <c r="I155" s="10" t="s">
        <v>146</v>
      </c>
      <c r="J155" s="10" t="s">
        <v>250</v>
      </c>
      <c r="K155" s="38">
        <v>5</v>
      </c>
    </row>
    <row r="156" spans="1:11" x14ac:dyDescent="0.25">
      <c r="A156" s="6" t="s">
        <v>360</v>
      </c>
      <c r="B156" s="36" t="s">
        <v>361</v>
      </c>
      <c r="C156" s="7" t="str">
        <f>HYPERLINK("https://data.sopsr.sk/chranene-objekty/chranene-uzemia/detail/SKUEV0168","Horný les")</f>
        <v>Horný les</v>
      </c>
      <c r="D156" s="33">
        <v>552.49680000000001</v>
      </c>
      <c r="E156" s="44" t="str">
        <f>HYPERLINK("https://natura2000.sopsr.sk/lokality/uev/lokality-uev/?uev=SKUEV0168","Odkaz")</f>
        <v>Odkaz</v>
      </c>
      <c r="F156" s="44" t="str">
        <f>HYPERLINK("https://natura2000.sopsr.sk/wp-content/uploads/natura/legislativa/uev/ciele/SKUEV0168.docx","Spracované")</f>
        <v>Spracované</v>
      </c>
      <c r="G156" s="8" t="s">
        <v>140</v>
      </c>
      <c r="H156" s="9" t="s">
        <v>20</v>
      </c>
      <c r="I156" s="10" t="s">
        <v>146</v>
      </c>
      <c r="J156" s="10" t="s">
        <v>250</v>
      </c>
      <c r="K156" s="38">
        <v>100</v>
      </c>
    </row>
    <row r="157" spans="1:11" x14ac:dyDescent="0.25">
      <c r="A157" s="6" t="s">
        <v>362</v>
      </c>
      <c r="B157" s="36" t="s">
        <v>363</v>
      </c>
      <c r="C157" s="7" t="str">
        <f>HYPERLINK("https://data.sopsr.sk/chranene-objekty/chranene-uzemia/detail/SKUEV0169","Orlovské vŕšky")</f>
        <v>Orlovské vŕšky</v>
      </c>
      <c r="D157" s="33">
        <v>207.1302</v>
      </c>
      <c r="E157" s="44" t="str">
        <f>HYPERLINK("https://natura2000.sopsr.sk/lokality/uev/lokality-uev/?uev=SKUEV0169","Odkaz")</f>
        <v>Odkaz</v>
      </c>
      <c r="F157" s="44" t="str">
        <f>HYPERLINK("https://natura2000.sopsr.sk/wp-content/uploads/natura/legislativa/uev/ciele/SKUEV0169.docx","Spracované")</f>
        <v>Spracované</v>
      </c>
      <c r="G157" s="15" t="s">
        <v>10</v>
      </c>
      <c r="H157" s="9" t="s">
        <v>20</v>
      </c>
      <c r="I157" s="10" t="s">
        <v>146</v>
      </c>
      <c r="J157" s="10" t="s">
        <v>250</v>
      </c>
      <c r="K157" s="38">
        <v>100</v>
      </c>
    </row>
    <row r="158" spans="1:11" x14ac:dyDescent="0.25">
      <c r="A158" s="6" t="s">
        <v>364</v>
      </c>
      <c r="B158" s="36" t="s">
        <v>365</v>
      </c>
      <c r="C158" s="7" t="str">
        <f>HYPERLINK("https://data.sopsr.sk/chranene-objekty/chranene-uzemia/detail/SKUEV0170","Mešterova lúka")</f>
        <v>Mešterova lúka</v>
      </c>
      <c r="D158" s="33">
        <v>133.04069999999999</v>
      </c>
      <c r="E158" s="44" t="str">
        <f>HYPERLINK("https://natura2000.sopsr.sk/lokality/uev/lokality-uev/?uev=SKUEV0170","Odkaz")</f>
        <v>Odkaz</v>
      </c>
      <c r="F158" s="44" t="str">
        <f>HYPERLINK("https://natura2000.sopsr.sk/wp-content/uploads/natura/legislativa/uev/ciele/SKUEV0170.docx","Spracované")</f>
        <v>Spracované</v>
      </c>
      <c r="G158" s="15" t="s">
        <v>10</v>
      </c>
      <c r="H158" s="9" t="s">
        <v>20</v>
      </c>
      <c r="I158" s="10" t="s">
        <v>146</v>
      </c>
      <c r="J158" s="10" t="s">
        <v>250</v>
      </c>
      <c r="K158" s="38">
        <v>100</v>
      </c>
    </row>
    <row r="159" spans="1:11" x14ac:dyDescent="0.25">
      <c r="A159" s="6" t="s">
        <v>366</v>
      </c>
      <c r="B159" s="36" t="s">
        <v>367</v>
      </c>
      <c r="C159" s="7" t="str">
        <f>HYPERLINK("https://data.sopsr.sk/chranene-objekty/chranene-uzemia/detail/SKUEV0171","Zelienka")</f>
        <v>Zelienka</v>
      </c>
      <c r="D159" s="33">
        <v>140.64240000000001</v>
      </c>
      <c r="E159" s="44" t="str">
        <f>HYPERLINK("https://natura2000.sopsr.sk/lokality/uev/lokality-uev/?uev=SKUEV0171","Odkaz")</f>
        <v>Odkaz</v>
      </c>
      <c r="F159" s="44" t="str">
        <f>HYPERLINK("https://natura2000.sopsr.sk/wp-content/uploads/natura/legislativa/uev/ciele/SKUEV0171.docx","Spracované")</f>
        <v>Spracované</v>
      </c>
      <c r="G159" s="15" t="s">
        <v>10</v>
      </c>
      <c r="H159" s="9" t="s">
        <v>20</v>
      </c>
      <c r="I159" s="9" t="s">
        <v>167</v>
      </c>
      <c r="J159" s="10" t="s">
        <v>250</v>
      </c>
      <c r="K159" s="38">
        <v>100</v>
      </c>
    </row>
    <row r="160" spans="1:11" x14ac:dyDescent="0.25">
      <c r="A160" s="6" t="s">
        <v>368</v>
      </c>
      <c r="B160" s="36" t="s">
        <v>369</v>
      </c>
      <c r="C160" s="7" t="str">
        <f>HYPERLINK("https://data.sopsr.sk/chranene-objekty/chranene-uzemia/detail/SKUEV0172","Bežnisko")</f>
        <v>Bežnisko</v>
      </c>
      <c r="D160" s="33">
        <v>921.94780000000003</v>
      </c>
      <c r="E160" s="44" t="str">
        <f>HYPERLINK("https://natura2000.sopsr.sk/lokality/uev/lokality-uev/?uev=SKUEV0172","Odkaz")</f>
        <v>Odkaz</v>
      </c>
      <c r="F160" s="44" t="str">
        <f>HYPERLINK("https://natura2000.sopsr.sk/wp-content/uploads/natura/legislativa/uev/ciele/SKUEV0172.docx","Spracované")</f>
        <v>Spracované</v>
      </c>
      <c r="G160" s="8"/>
      <c r="H160" s="9" t="s">
        <v>20</v>
      </c>
      <c r="I160" s="10" t="s">
        <v>146</v>
      </c>
      <c r="J160" s="10" t="s">
        <v>250</v>
      </c>
      <c r="K160" s="38">
        <v>100</v>
      </c>
    </row>
    <row r="161" spans="1:11" x14ac:dyDescent="0.25">
      <c r="A161" s="6" t="s">
        <v>370</v>
      </c>
      <c r="B161" s="36" t="s">
        <v>371</v>
      </c>
      <c r="C161" s="7" t="str">
        <f>HYPERLINK("https://data.sopsr.sk/chranene-objekty/chranene-uzemia/detail/SKUEV0173","Kotlina")</f>
        <v>Kotlina</v>
      </c>
      <c r="D161" s="33">
        <v>614.57650000000001</v>
      </c>
      <c r="E161" s="44" t="str">
        <f>HYPERLINK("https://natura2000.sopsr.sk/lokality/uev/lokality-uev/?uev=SKUEV0173","Odkaz")</f>
        <v>Odkaz</v>
      </c>
      <c r="F161" s="44" t="str">
        <f>HYPERLINK("https://natura2000.sopsr.sk/wp-content/uploads/natura/legislativa/uev/ciele/SKUEV0173.docx","Spracované")</f>
        <v>Spracované</v>
      </c>
      <c r="G161" s="15" t="s">
        <v>10</v>
      </c>
      <c r="H161" s="9" t="s">
        <v>20</v>
      </c>
      <c r="I161" s="10" t="s">
        <v>357</v>
      </c>
      <c r="J161" s="10" t="s">
        <v>250</v>
      </c>
      <c r="K161" s="38">
        <v>100</v>
      </c>
    </row>
    <row r="162" spans="1:11" x14ac:dyDescent="0.25">
      <c r="A162" s="6" t="s">
        <v>372</v>
      </c>
      <c r="B162" s="36" t="s">
        <v>373</v>
      </c>
      <c r="C162" s="7" t="str">
        <f>HYPERLINK("https://data.sopsr.sk/chranene-objekty/chranene-uzemia/detail/SKUEV0174","Lindava")</f>
        <v>Lindava</v>
      </c>
      <c r="D162" s="33">
        <v>420.0539</v>
      </c>
      <c r="E162" s="44" t="str">
        <f>HYPERLINK("https://natura2000.sopsr.sk/lokality/uev/lokality-uev/?uev=SKUEV0174","Odkaz")</f>
        <v>Odkaz</v>
      </c>
      <c r="F162" s="44" t="str">
        <f>HYPERLINK("https://natura2000.sopsr.sk/wp-content/uploads/natura/legislativa/uev/ciele/SKUEV0174.docx","Spracované")</f>
        <v>Spracované</v>
      </c>
      <c r="G162" s="10" t="s">
        <v>10</v>
      </c>
      <c r="H162" s="9" t="s">
        <v>20</v>
      </c>
      <c r="I162" s="10" t="s">
        <v>146</v>
      </c>
      <c r="J162" s="10" t="s">
        <v>225</v>
      </c>
      <c r="K162" s="38">
        <v>12</v>
      </c>
    </row>
    <row r="163" spans="1:11" x14ac:dyDescent="0.25">
      <c r="A163" s="6" t="s">
        <v>374</v>
      </c>
      <c r="B163" s="36" t="s">
        <v>375</v>
      </c>
      <c r="C163" s="7" t="str">
        <f>HYPERLINK("https://data.sopsr.sk/chranene-objekty/chranene-uzemia/detail/SKUEV0175","Sedliská")</f>
        <v>Sedliská</v>
      </c>
      <c r="D163" s="33">
        <v>46.064500000000002</v>
      </c>
      <c r="E163" s="44" t="str">
        <f>HYPERLINK("https://natura2000.sopsr.sk/lokality/uev/lokality-uev/?uev=SKUEV0175","Odkaz")</f>
        <v>Odkaz</v>
      </c>
      <c r="F163" s="44" t="str">
        <f>HYPERLINK("https://natura2000.sopsr.sk/wp-content/uploads/natura/legislativa/uev/ciele/SKUEV0175.docx","Spracované")</f>
        <v>Spracované</v>
      </c>
      <c r="G163" s="10" t="s">
        <v>10</v>
      </c>
      <c r="H163" s="10" t="s">
        <v>11</v>
      </c>
      <c r="I163" s="9" t="s">
        <v>167</v>
      </c>
      <c r="J163" s="10" t="s">
        <v>225</v>
      </c>
      <c r="K163" s="38">
        <v>13</v>
      </c>
    </row>
    <row r="164" spans="1:11" x14ac:dyDescent="0.25">
      <c r="A164" s="6" t="s">
        <v>376</v>
      </c>
      <c r="B164" s="36" t="s">
        <v>377</v>
      </c>
      <c r="C164" s="7" t="str">
        <f>HYPERLINK("https://data.sopsr.sk/chranene-objekty/chranene-uzemia/detail/SKUEV0176","Dvorčiansky les")</f>
        <v>Dvorčiansky les</v>
      </c>
      <c r="D164" s="33">
        <v>146.8432</v>
      </c>
      <c r="E164" s="44" t="str">
        <f>HYPERLINK("https://natura2000.sopsr.sk/lokality/uev/lokality-uev/?uev=SKUEV0176","Odkaz")</f>
        <v>Odkaz</v>
      </c>
      <c r="F164" s="44" t="str">
        <f>HYPERLINK("https://natura2000.sopsr.sk/wp-content/uploads/natura/legislativa/uev/ciele/SKUEV0176.docx","Spracované")</f>
        <v>Spracované</v>
      </c>
      <c r="G164" s="10" t="s">
        <v>10</v>
      </c>
      <c r="H164" s="9" t="s">
        <v>20</v>
      </c>
      <c r="I164" s="9" t="s">
        <v>58</v>
      </c>
      <c r="J164" s="10" t="s">
        <v>47</v>
      </c>
      <c r="K164" s="38">
        <v>0</v>
      </c>
    </row>
    <row r="165" spans="1:11" x14ac:dyDescent="0.25">
      <c r="A165" s="6" t="s">
        <v>378</v>
      </c>
      <c r="B165" s="36" t="s">
        <v>379</v>
      </c>
      <c r="C165" s="7" t="str">
        <f>HYPERLINK("https://data.sopsr.sk/chranene-objekty/chranene-uzemia/detail/SKUEV0177","Šmolzie")</f>
        <v>Šmolzie</v>
      </c>
      <c r="D165" s="33">
        <v>67.944100000000006</v>
      </c>
      <c r="E165" s="44" t="str">
        <f>HYPERLINK("https://natura2000.sopsr.sk/lokality/uev/lokality-uev/?uev=SKUEV0177","Odkaz")</f>
        <v>Odkaz</v>
      </c>
      <c r="F165" s="44" t="str">
        <f>HYPERLINK("https://natura2000.sopsr.sk/wp-content/uploads/natura/legislativa/uev/ciele/SKUEV0177.docx","Spracované")</f>
        <v>Spracované</v>
      </c>
      <c r="G165" s="10" t="s">
        <v>10</v>
      </c>
      <c r="H165" s="9" t="s">
        <v>20</v>
      </c>
      <c r="I165" s="10" t="s">
        <v>146</v>
      </c>
      <c r="J165" s="10" t="s">
        <v>250</v>
      </c>
      <c r="K165" s="38">
        <v>100</v>
      </c>
    </row>
    <row r="166" spans="1:11" x14ac:dyDescent="0.25">
      <c r="A166" s="6" t="s">
        <v>380</v>
      </c>
      <c r="B166" s="36" t="s">
        <v>381</v>
      </c>
      <c r="C166" s="7" t="str">
        <f>HYPERLINK("https://data.sopsr.sk/chranene-objekty/chranene-uzemia/detail/SKUEV0178","V studienkach")</f>
        <v>V studienkach</v>
      </c>
      <c r="D166" s="33">
        <v>19.466100000000001</v>
      </c>
      <c r="E166" s="44" t="str">
        <f>HYPERLINK("https://natura2000.sopsr.sk/lokality/uev/lokality-uev/?uev=SKUEV0178","Odkaz")</f>
        <v>Odkaz</v>
      </c>
      <c r="F166" s="44" t="str">
        <f>HYPERLINK("https://natura2000.sopsr.sk/wp-content/uploads/natura/legislativa/uev/ciele/SKUEV0178.docx","Spracované")</f>
        <v>Spracované</v>
      </c>
      <c r="G166" s="10" t="s">
        <v>10</v>
      </c>
      <c r="H166" s="9" t="s">
        <v>20</v>
      </c>
      <c r="I166" s="10" t="s">
        <v>146</v>
      </c>
      <c r="J166" s="10" t="s">
        <v>250</v>
      </c>
      <c r="K166" s="38">
        <v>100</v>
      </c>
    </row>
    <row r="167" spans="1:11" x14ac:dyDescent="0.25">
      <c r="A167" s="6" t="s">
        <v>382</v>
      </c>
      <c r="B167" s="36" t="s">
        <v>383</v>
      </c>
      <c r="C167" s="7" t="str">
        <f>HYPERLINK("https://data.sopsr.sk/chranene-objekty/chranene-uzemia/detail/SKUEV0179","Červený rybník")</f>
        <v>Červený rybník</v>
      </c>
      <c r="D167" s="33">
        <v>250.98670000000001</v>
      </c>
      <c r="E167" s="44" t="str">
        <f>HYPERLINK("https://natura2000.sopsr.sk/lokality/uev/lokality-uev/?uev=SKUEV0179","Odkaz")</f>
        <v>Odkaz</v>
      </c>
      <c r="F167" s="44" t="str">
        <f>HYPERLINK("https://natura2000.sopsr.sk/wp-content/uploads/natura/legislativa/uev/ciele/SKUEV0179.docx","Spracované")</f>
        <v>Spracované</v>
      </c>
      <c r="G167" s="10" t="s">
        <v>10</v>
      </c>
      <c r="H167" s="9" t="s">
        <v>20</v>
      </c>
      <c r="I167" s="9" t="s">
        <v>167</v>
      </c>
      <c r="J167" s="10" t="s">
        <v>250</v>
      </c>
      <c r="K167" s="38">
        <v>100</v>
      </c>
    </row>
    <row r="168" spans="1:11" x14ac:dyDescent="0.25">
      <c r="A168" s="6" t="s">
        <v>384</v>
      </c>
      <c r="B168" s="36" t="s">
        <v>385</v>
      </c>
      <c r="C168" s="7" t="str">
        <f>HYPERLINK("https://data.sopsr.sk/chranene-objekty/chranene-uzemia/detail/SKUEV0180","Ludinský háj")</f>
        <v>Ludinský háj</v>
      </c>
      <c r="D168" s="33">
        <v>162.43780000000001</v>
      </c>
      <c r="E168" s="44" t="str">
        <f>HYPERLINK("https://natura2000.sopsr.sk/lokality/uev/lokality-uev/?uev=SKUEV0180","Odkaz")</f>
        <v>Odkaz</v>
      </c>
      <c r="F168" s="44" t="str">
        <f>HYPERLINK("https://natura2000.sopsr.sk/wp-content/uploads/natura/legislativa/uev/ciele/SKUEV0180.docx","Spracované")</f>
        <v>Spracované</v>
      </c>
      <c r="G168" s="10" t="s">
        <v>10</v>
      </c>
      <c r="H168" s="9" t="s">
        <v>20</v>
      </c>
      <c r="I168" s="9" t="s">
        <v>58</v>
      </c>
      <c r="J168" s="10" t="s">
        <v>47</v>
      </c>
      <c r="K168" s="38">
        <v>0</v>
      </c>
    </row>
    <row r="169" spans="1:11" x14ac:dyDescent="0.25">
      <c r="A169" s="6" t="s">
        <v>386</v>
      </c>
      <c r="B169" s="36" t="s">
        <v>387</v>
      </c>
      <c r="C169" s="7" t="str">
        <f>HYPERLINK("https://data.sopsr.sk/chranene-objekty/chranene-uzemia/detail/SKUEV0182","Číčovské luhy")</f>
        <v>Číčovské luhy</v>
      </c>
      <c r="D169" s="33">
        <v>668.22460000000001</v>
      </c>
      <c r="E169" s="44" t="str">
        <f>HYPERLINK("https://natura2000.sopsr.sk/lokality/uev/lokality-uev/?uev=SKUEV0182","Odkaz")</f>
        <v>Odkaz</v>
      </c>
      <c r="F169" s="44" t="str">
        <f>HYPERLINK("https://natura2000.sopsr.sk/wp-content/uploads/natura/legislativa/uev/ciele/SKUEV0182.docx","Spracované")</f>
        <v>Spracované</v>
      </c>
      <c r="G169" s="10" t="s">
        <v>10</v>
      </c>
      <c r="H169" s="9" t="s">
        <v>20</v>
      </c>
      <c r="I169" s="9" t="s">
        <v>388</v>
      </c>
      <c r="J169" s="10" t="s">
        <v>40</v>
      </c>
      <c r="K169" s="38">
        <v>100</v>
      </c>
    </row>
    <row r="170" spans="1:11" x14ac:dyDescent="0.25">
      <c r="A170" s="6" t="s">
        <v>389</v>
      </c>
      <c r="B170" s="36" t="s">
        <v>390</v>
      </c>
      <c r="C170" s="7" t="str">
        <f>HYPERLINK("https://data.sopsr.sk/chranene-objekty/chranene-uzemia/detail/SKUEV0183","Veľkolélsky ostrov")</f>
        <v>Veľkolélsky ostrov</v>
      </c>
      <c r="D170" s="33">
        <v>328.28030000000001</v>
      </c>
      <c r="E170" s="44" t="str">
        <f>HYPERLINK("https://natura2000.sopsr.sk/lokality/uev/lokality-uev/?uev=SKUEV0183","Odkaz")</f>
        <v>Odkaz</v>
      </c>
      <c r="F170" s="44" t="str">
        <f>HYPERLINK("https://natura2000.sopsr.sk/wp-content/uploads/natura/legislativa/uev/ciele/SKUEV0183.docx","Spracované")</f>
        <v>Spracované</v>
      </c>
      <c r="G170" s="10" t="s">
        <v>10</v>
      </c>
      <c r="H170" s="9" t="s">
        <v>20</v>
      </c>
      <c r="I170" s="9" t="s">
        <v>58</v>
      </c>
      <c r="J170" s="10" t="s">
        <v>40</v>
      </c>
      <c r="K170" s="38">
        <v>100</v>
      </c>
    </row>
    <row r="171" spans="1:11" x14ac:dyDescent="0.25">
      <c r="A171" s="6" t="s">
        <v>391</v>
      </c>
      <c r="B171" s="36" t="s">
        <v>392</v>
      </c>
      <c r="C171" s="7" t="str">
        <f>HYPERLINK("https://data.sopsr.sk/chranene-objekty/chranene-uzemia/detail/SKUEV0184","Burdov")</f>
        <v>Burdov</v>
      </c>
      <c r="D171" s="33">
        <v>1934.9821999999999</v>
      </c>
      <c r="E171" s="44" t="str">
        <f>HYPERLINK("https://natura2000.sopsr.sk/lokality/uev/lokality-uev/?uev=SKUEV0184","Odkaz")</f>
        <v>Odkaz</v>
      </c>
      <c r="F171" s="44" t="str">
        <f>HYPERLINK("https://natura2000.sopsr.sk/wp-content/uploads/natura/legislativa/uev/ciele/SKUEV0184.docx","Spracované")</f>
        <v>Spracované</v>
      </c>
      <c r="G171" s="10" t="s">
        <v>10</v>
      </c>
      <c r="H171" s="9" t="s">
        <v>20</v>
      </c>
      <c r="I171" s="9" t="s">
        <v>58</v>
      </c>
      <c r="J171" s="10" t="s">
        <v>40</v>
      </c>
      <c r="K171" s="38">
        <v>34</v>
      </c>
    </row>
    <row r="172" spans="1:11" x14ac:dyDescent="0.25">
      <c r="A172" s="6" t="s">
        <v>393</v>
      </c>
      <c r="B172" s="36" t="s">
        <v>394</v>
      </c>
      <c r="C172" s="7" t="str">
        <f>HYPERLINK("https://data.sopsr.sk/chranene-objekty/chranene-uzemia/detail/SKUEV0185","Pramene Hruštínky")</f>
        <v>Pramene Hruštínky</v>
      </c>
      <c r="D172" s="33">
        <v>220.8451</v>
      </c>
      <c r="E172" s="44" t="str">
        <f>HYPERLINK("https://natura2000.sopsr.sk/lokality/uev/lokality-uev/?uev=SKUEV0185","Odkaz")</f>
        <v>Odkaz</v>
      </c>
      <c r="F172" s="44" t="str">
        <f>HYPERLINK("https://natura2000.sopsr.sk/wp-content/uploads/natura/legislativa/uev/ciele/SKUEV0185.docx","Spracované")</f>
        <v>Spracované</v>
      </c>
      <c r="G172" s="10" t="s">
        <v>10</v>
      </c>
      <c r="H172" s="10" t="s">
        <v>11</v>
      </c>
      <c r="I172" s="9" t="s">
        <v>127</v>
      </c>
      <c r="J172" s="10" t="s">
        <v>128</v>
      </c>
      <c r="K172" s="38">
        <v>100</v>
      </c>
    </row>
    <row r="173" spans="1:11" x14ac:dyDescent="0.25">
      <c r="A173" s="6" t="s">
        <v>395</v>
      </c>
      <c r="B173" s="36" t="s">
        <v>396</v>
      </c>
      <c r="C173" s="7" t="str">
        <f>HYPERLINK("https://data.sopsr.sk/chranene-objekty/chranene-uzemia/detail/SKUEV0186","Mláčky")</f>
        <v>Mláčky</v>
      </c>
      <c r="D173" s="33">
        <v>401.91989999999998</v>
      </c>
      <c r="E173" s="44" t="str">
        <f>HYPERLINK("https://natura2000.sopsr.sk/lokality/uev/lokality-uev/?uev=SKUEV0186","Odkaz")</f>
        <v>Odkaz</v>
      </c>
      <c r="F173" s="44" t="str">
        <f>HYPERLINK("https://natura2000.sopsr.sk/wp-content/uploads/natura/legislativa/uev/ciele/SKUEV0186.docx","Spracované")</f>
        <v>Spracované</v>
      </c>
      <c r="G173" s="10" t="s">
        <v>10</v>
      </c>
      <c r="H173" s="10" t="s">
        <v>11</v>
      </c>
      <c r="I173" s="9" t="s">
        <v>61</v>
      </c>
      <c r="J173" s="10" t="s">
        <v>34</v>
      </c>
      <c r="K173" s="38">
        <v>36</v>
      </c>
    </row>
    <row r="174" spans="1:11" x14ac:dyDescent="0.25">
      <c r="A174" s="6" t="s">
        <v>397</v>
      </c>
      <c r="B174" s="36" t="s">
        <v>398</v>
      </c>
      <c r="C174" s="7" t="str">
        <f>HYPERLINK("https://data.sopsr.sk/chranene-objekty/chranene-uzemia/detail/SKUEV0187","Rašeliniská Oravských Beskýd")</f>
        <v>Rašeliniská Oravských Beskýd</v>
      </c>
      <c r="D174" s="33">
        <v>130.4573</v>
      </c>
      <c r="E174" s="44" t="str">
        <f>HYPERLINK("https://natura2000.sopsr.sk/lokality/uev/lokality-uev/?uev=SKUEV0187","Odkaz")</f>
        <v>Odkaz</v>
      </c>
      <c r="F174" s="44" t="str">
        <f>HYPERLINK("https://natura2000.sopsr.sk/wp-content/uploads/natura/legislativa/uev/ciele/SKUEV0187.docx","Spracované")</f>
        <v>Spracované</v>
      </c>
      <c r="G174" s="10" t="s">
        <v>10</v>
      </c>
      <c r="H174" s="10" t="s">
        <v>11</v>
      </c>
      <c r="I174" s="9" t="s">
        <v>127</v>
      </c>
      <c r="J174" s="10" t="s">
        <v>128</v>
      </c>
      <c r="K174" s="38">
        <v>100</v>
      </c>
    </row>
    <row r="175" spans="1:11" x14ac:dyDescent="0.25">
      <c r="A175" s="6" t="s">
        <v>399</v>
      </c>
      <c r="B175" s="36" t="s">
        <v>400</v>
      </c>
      <c r="C175" s="7" t="str">
        <f>HYPERLINK("https://data.sopsr.sk/chranene-objekty/chranene-uzemia/detail/SKUEV0188","Pilsko")</f>
        <v>Pilsko</v>
      </c>
      <c r="D175" s="33">
        <v>701.48289999999997</v>
      </c>
      <c r="E175" s="44" t="str">
        <f>HYPERLINK("https://natura2000.sopsr.sk/lokality/uev/lokality-uev/?uev=SKUEV0188","Odkaz")</f>
        <v>Odkaz</v>
      </c>
      <c r="F175" s="44" t="str">
        <f>HYPERLINK("https://natura2000.sopsr.sk/wp-content/uploads/natura/legislativa/uev/ciele/SKUEV0188.docx","Spracované")</f>
        <v>Spracované</v>
      </c>
      <c r="G175" s="10" t="s">
        <v>10</v>
      </c>
      <c r="H175" s="9" t="s">
        <v>11</v>
      </c>
      <c r="I175" s="9" t="s">
        <v>127</v>
      </c>
      <c r="J175" s="10" t="s">
        <v>128</v>
      </c>
      <c r="K175" s="38">
        <v>100</v>
      </c>
    </row>
    <row r="176" spans="1:11" x14ac:dyDescent="0.25">
      <c r="A176" s="6" t="s">
        <v>401</v>
      </c>
      <c r="B176" s="36" t="s">
        <v>402</v>
      </c>
      <c r="C176" s="7" t="str">
        <f>HYPERLINK("https://data.sopsr.sk/chranene-objekty/chranene-uzemia/detail/SKUEV0189","Babia hora")</f>
        <v>Babia hora</v>
      </c>
      <c r="D176" s="33">
        <v>504.31909999999999</v>
      </c>
      <c r="E176" s="44" t="str">
        <f>HYPERLINK("https://natura2000.sopsr.sk/lokality/uev/lokality-uev/?uev=SKUEV0189","Odkaz")</f>
        <v>Odkaz</v>
      </c>
      <c r="F176" s="44" t="str">
        <f>HYPERLINK("https://natura2000.sopsr.sk/wp-content/uploads/natura/legislativa/uev/ciele/SKUEV0189.docx","Spracované")</f>
        <v>Spracované</v>
      </c>
      <c r="G176" s="10" t="s">
        <v>10</v>
      </c>
      <c r="H176" s="10" t="s">
        <v>11</v>
      </c>
      <c r="I176" s="9" t="s">
        <v>127</v>
      </c>
      <c r="J176" s="10" t="s">
        <v>128</v>
      </c>
      <c r="K176" s="38">
        <v>100</v>
      </c>
    </row>
    <row r="177" spans="1:11" x14ac:dyDescent="0.25">
      <c r="A177" s="6" t="s">
        <v>403</v>
      </c>
      <c r="B177" s="36" t="s">
        <v>404</v>
      </c>
      <c r="C177" s="7" t="str">
        <f>HYPERLINK("https://data.sopsr.sk/chranene-objekty/chranene-uzemia/detail/SKUEV0190","Slaná voda")</f>
        <v>Slaná voda</v>
      </c>
      <c r="D177" s="33">
        <v>222.21260000000001</v>
      </c>
      <c r="E177" s="44" t="str">
        <f>HYPERLINK("https://natura2000.sopsr.sk/lokality/uev/lokality-uev/?uev=SKUEV0190","Odkaz")</f>
        <v>Odkaz</v>
      </c>
      <c r="F177" s="44" t="str">
        <f>HYPERLINK("https://natura2000.sopsr.sk/wp-content/uploads/natura/legislativa/uev/ciele/SKUEV0190.docx","Spracované")</f>
        <v>Spracované</v>
      </c>
      <c r="G177" s="10" t="s">
        <v>10</v>
      </c>
      <c r="H177" s="10" t="s">
        <v>11</v>
      </c>
      <c r="I177" s="9" t="s">
        <v>127</v>
      </c>
      <c r="J177" s="10" t="s">
        <v>128</v>
      </c>
      <c r="K177" s="38">
        <v>100</v>
      </c>
    </row>
    <row r="178" spans="1:11" x14ac:dyDescent="0.25">
      <c r="A178" s="6" t="s">
        <v>405</v>
      </c>
      <c r="B178" s="36" t="s">
        <v>406</v>
      </c>
      <c r="C178" s="7" t="str">
        <f>HYPERLINK("https://data.sopsr.sk/chranene-objekty/chranene-uzemia/detail/SKUEV0191","Rašeliniská Bielej Oravy")</f>
        <v>Rašeliniská Bielej Oravy</v>
      </c>
      <c r="D178" s="33">
        <v>39.148400000000002</v>
      </c>
      <c r="E178" s="44" t="str">
        <f>HYPERLINK("https://natura2000.sopsr.sk/lokality/uev/lokality-uev/?uev=SKUEV0191","Odkaz")</f>
        <v>Odkaz</v>
      </c>
      <c r="F178" s="44" t="str">
        <f>HYPERLINK("https://natura2000.sopsr.sk/wp-content/uploads/natura/legislativa/uev/ciele/SKUEV0191.docx","Spracované")</f>
        <v>Spracované</v>
      </c>
      <c r="G178" s="10" t="s">
        <v>10</v>
      </c>
      <c r="H178" s="10" t="s">
        <v>11</v>
      </c>
      <c r="I178" s="9" t="s">
        <v>127</v>
      </c>
      <c r="J178" s="10" t="s">
        <v>128</v>
      </c>
      <c r="K178" s="38">
        <v>100</v>
      </c>
    </row>
    <row r="179" spans="1:11" x14ac:dyDescent="0.25">
      <c r="A179" s="6" t="s">
        <v>407</v>
      </c>
      <c r="B179" s="36" t="s">
        <v>408</v>
      </c>
      <c r="C179" s="7" t="str">
        <f>HYPERLINK("https://data.sopsr.sk/chranene-objekty/chranene-uzemia/detail/SKUEV0192","Prosečné")</f>
        <v>Prosečné</v>
      </c>
      <c r="D179" s="33">
        <v>2341.3116</v>
      </c>
      <c r="E179" s="44" t="str">
        <f>HYPERLINK("https://natura2000.sopsr.sk/lokality/uev/lokality-uev/?uev=SKUEV0192","Odkaz")</f>
        <v>Odkaz</v>
      </c>
      <c r="F179" s="44" t="str">
        <f>HYPERLINK("https://natura2000.sopsr.sk/wp-content/uploads/natura/legislativa/uev/ciele/SKUEV0192.docx","Spracované")</f>
        <v>Spracované</v>
      </c>
      <c r="G179" s="10" t="s">
        <v>10</v>
      </c>
      <c r="H179" s="9" t="s">
        <v>11</v>
      </c>
      <c r="I179" s="9" t="s">
        <v>127</v>
      </c>
      <c r="J179" s="10" t="s">
        <v>299</v>
      </c>
      <c r="K179" s="38">
        <v>35</v>
      </c>
    </row>
    <row r="180" spans="1:11" x14ac:dyDescent="0.25">
      <c r="A180" s="6" t="s">
        <v>409</v>
      </c>
      <c r="B180" s="36" t="s">
        <v>410</v>
      </c>
      <c r="C180" s="7" t="str">
        <f>HYPERLINK("https://data.sopsr.sk/chranene-objekty/chranene-uzemia/detail/SKUEV0193","Zimník")</f>
        <v>Zimník</v>
      </c>
      <c r="D180" s="33">
        <v>37.557699999999997</v>
      </c>
      <c r="E180" s="44" t="str">
        <f>HYPERLINK("https://natura2000.sopsr.sk/lokality/uev/lokality-uev/?uev=SKUEV0193","Odkaz")</f>
        <v>Odkaz</v>
      </c>
      <c r="F180" s="44" t="str">
        <f>HYPERLINK("https://natura2000.sopsr.sk/wp-content/uploads/natura/legislativa/uev/ciele/SKUEV0193.docx","Spracované")</f>
        <v>Spracované</v>
      </c>
      <c r="G180" s="10" t="s">
        <v>10</v>
      </c>
      <c r="H180" s="10" t="s">
        <v>11</v>
      </c>
      <c r="I180" s="9" t="s">
        <v>127</v>
      </c>
      <c r="J180" s="10" t="s">
        <v>128</v>
      </c>
      <c r="K180" s="38">
        <v>100</v>
      </c>
    </row>
    <row r="181" spans="1:11" x14ac:dyDescent="0.25">
      <c r="A181" s="6" t="s">
        <v>411</v>
      </c>
      <c r="B181" s="36" t="s">
        <v>412</v>
      </c>
      <c r="C181" s="7" t="str">
        <f>HYPERLINK("https://data.sopsr.sk/chranene-objekty/chranene-uzemia/detail/SKUEV0194","Hybická tiesňava")</f>
        <v>Hybická tiesňava</v>
      </c>
      <c r="D181" s="33">
        <v>547.34119999999996</v>
      </c>
      <c r="E181" s="44" t="str">
        <f>HYPERLINK("https://natura2000.sopsr.sk/lokality/uev/lokality-uev/?uev=SKUEV0194","Odkaz")</f>
        <v>Odkaz</v>
      </c>
      <c r="F181" s="44" t="str">
        <f>HYPERLINK("https://natura2000.sopsr.sk/wp-content/uploads/natura/legislativa/uev/ciele/SKUEV0194.docx","Spracované")</f>
        <v>Spracované</v>
      </c>
      <c r="G181" s="10" t="s">
        <v>10</v>
      </c>
      <c r="H181" s="10" t="s">
        <v>11</v>
      </c>
      <c r="I181" s="9" t="s">
        <v>127</v>
      </c>
      <c r="J181" s="10" t="s">
        <v>299</v>
      </c>
      <c r="K181" s="38">
        <v>2</v>
      </c>
    </row>
    <row r="182" spans="1:11" x14ac:dyDescent="0.25">
      <c r="A182" s="6" t="s">
        <v>413</v>
      </c>
      <c r="B182" s="36" t="s">
        <v>414</v>
      </c>
      <c r="C182" s="7" t="str">
        <f>HYPERLINK("https://data.sopsr.sk/chranene-objekty/chranene-uzemia/detail/SKUEV0196","Brezové")</f>
        <v>Brezové</v>
      </c>
      <c r="D182" s="33">
        <v>17.256</v>
      </c>
      <c r="E182" s="44" t="str">
        <f>HYPERLINK("https://natura2000.sopsr.sk/lokality/uev/lokality-uev/?uev=SKUEV0196","Odkaz")</f>
        <v>Odkaz</v>
      </c>
      <c r="F182" s="44" t="str">
        <f>HYPERLINK("https://natura2000.sopsr.sk/wp-content/uploads/natura/legislativa/uev/ciele/SKUEV0196.docx","Spracované")</f>
        <v>Spracované</v>
      </c>
      <c r="G182" s="10" t="s">
        <v>10</v>
      </c>
      <c r="H182" s="10" t="s">
        <v>11</v>
      </c>
      <c r="I182" s="9" t="s">
        <v>55</v>
      </c>
      <c r="J182" s="10" t="s">
        <v>299</v>
      </c>
      <c r="K182" s="38">
        <v>100</v>
      </c>
    </row>
    <row r="183" spans="1:11" x14ac:dyDescent="0.25">
      <c r="A183" s="6" t="s">
        <v>415</v>
      </c>
      <c r="B183" s="36" t="s">
        <v>416</v>
      </c>
      <c r="C183" s="7" t="str">
        <f>HYPERLINK("https://data.sopsr.sk/chranene-objekty/chranene-uzemia/detail/SKUEV0197","Salatín")</f>
        <v>Salatín</v>
      </c>
      <c r="D183" s="33">
        <v>3368.2946999999999</v>
      </c>
      <c r="E183" s="44" t="str">
        <f>HYPERLINK("https://natura2000.sopsr.sk/lokality/uev/lokality-uev/?uev=SKUEV0197","Odkaz")</f>
        <v>Odkaz</v>
      </c>
      <c r="F183" s="44" t="str">
        <f>HYPERLINK("https://natura2000.sopsr.sk/wp-content/uploads/natura/legislativa/uev/ciele/SKUEV0197.docx","Spracované")</f>
        <v>Spracované</v>
      </c>
      <c r="G183" s="10" t="s">
        <v>10</v>
      </c>
      <c r="H183" s="10" t="s">
        <v>11</v>
      </c>
      <c r="I183" s="9" t="s">
        <v>127</v>
      </c>
      <c r="J183" s="10" t="s">
        <v>131</v>
      </c>
      <c r="K183" s="38">
        <v>100</v>
      </c>
    </row>
    <row r="184" spans="1:11" x14ac:dyDescent="0.25">
      <c r="A184" s="6" t="s">
        <v>417</v>
      </c>
      <c r="B184" s="36" t="s">
        <v>418</v>
      </c>
      <c r="C184" s="7" t="str">
        <f>HYPERLINK("https://data.sopsr.sk/chranene-objekty/chranene-uzemia/detail/SKUEV0198","Zvolen")</f>
        <v>Zvolen</v>
      </c>
      <c r="D184" s="33">
        <v>2596.6556</v>
      </c>
      <c r="E184" s="44" t="str">
        <f>HYPERLINK("https://natura2000.sopsr.sk/lokality/uev/lokality-uev/?uev=SKUEV0198","Odkaz")</f>
        <v>Odkaz</v>
      </c>
      <c r="F184" s="44" t="str">
        <f>HYPERLINK("https://natura2000.sopsr.sk/wp-content/uploads/natura/legislativa/uev/ciele/SKUEV0198.docx","Spracované")</f>
        <v>Spracované</v>
      </c>
      <c r="G184" s="10" t="s">
        <v>10</v>
      </c>
      <c r="H184" s="10" t="s">
        <v>11</v>
      </c>
      <c r="I184" s="10" t="s">
        <v>419</v>
      </c>
      <c r="J184" s="10" t="s">
        <v>131</v>
      </c>
      <c r="K184" s="38">
        <v>100</v>
      </c>
    </row>
    <row r="185" spans="1:11" x14ac:dyDescent="0.25">
      <c r="A185" s="6" t="s">
        <v>420</v>
      </c>
      <c r="B185" s="36" t="s">
        <v>421</v>
      </c>
      <c r="C185" s="7" t="str">
        <f>HYPERLINK("https://data.sopsr.sk/chranene-objekty/chranene-uzemia/detail/SKUEV0199","Plavno")</f>
        <v>Plavno</v>
      </c>
      <c r="D185" s="33">
        <v>52.587600000000002</v>
      </c>
      <c r="E185" s="44" t="str">
        <f>HYPERLINK("https://natura2000.sopsr.sk/lokality/uev/lokality-uev/?uev=SKUEV0199","Odkaz")</f>
        <v>Odkaz</v>
      </c>
      <c r="F185" s="44" t="str">
        <f>HYPERLINK("https://natura2000.sopsr.sk/wp-content/uploads/natura/legislativa/uev/ciele/SKUEV0199.docx","Spracované")</f>
        <v>Spracované</v>
      </c>
      <c r="G185" s="10" t="s">
        <v>10</v>
      </c>
      <c r="H185" s="10" t="s">
        <v>11</v>
      </c>
      <c r="I185" s="9" t="s">
        <v>61</v>
      </c>
      <c r="J185" s="16" t="s">
        <v>34</v>
      </c>
      <c r="K185" s="38">
        <v>100</v>
      </c>
    </row>
    <row r="186" spans="1:11" x14ac:dyDescent="0.25">
      <c r="A186" s="6" t="s">
        <v>422</v>
      </c>
      <c r="B186" s="36" t="s">
        <v>423</v>
      </c>
      <c r="C186" s="7" t="str">
        <f>HYPERLINK("https://data.sopsr.sk/chranene-objekty/chranene-uzemia/detail/SKUEV0200","Klenovský Vepor")</f>
        <v>Klenovský Vepor</v>
      </c>
      <c r="D186" s="33">
        <v>341.15289999999999</v>
      </c>
      <c r="E186" s="44" t="str">
        <f>HYPERLINK("https://natura2000.sopsr.sk/lokality/uev/lokality-uev/?uev=SKUEV0200","Odkaz")</f>
        <v>Odkaz</v>
      </c>
      <c r="F186" s="44" t="str">
        <f>HYPERLINK("https://natura2000.sopsr.sk/wp-content/uploads/natura/legislativa/uev/ciele/SKUEV0200.docx","Spracované")</f>
        <v>Spracované</v>
      </c>
      <c r="G186" s="10" t="s">
        <v>10</v>
      </c>
      <c r="H186" s="10" t="s">
        <v>11</v>
      </c>
      <c r="I186" s="9" t="s">
        <v>61</v>
      </c>
      <c r="J186" s="16" t="s">
        <v>34</v>
      </c>
      <c r="K186" s="38">
        <v>100</v>
      </c>
    </row>
    <row r="187" spans="1:11" x14ac:dyDescent="0.25">
      <c r="A187" s="6" t="s">
        <v>424</v>
      </c>
      <c r="B187" s="36" t="s">
        <v>425</v>
      </c>
      <c r="C187" s="7" t="str">
        <f>HYPERLINK("https://data.sopsr.sk/chranene-objekty/chranene-uzemia/detail/SKUEV0201","Gavurky")</f>
        <v>Gavurky</v>
      </c>
      <c r="D187" s="33">
        <v>68.321899999999999</v>
      </c>
      <c r="E187" s="44" t="str">
        <f>HYPERLINK("https://natura2000.sopsr.sk/lokality/uev/lokality-uev/?uev=SKUEV0201","Odkaz")</f>
        <v>Odkaz</v>
      </c>
      <c r="F187" s="44" t="str">
        <f>HYPERLINK("https://natura2000.sopsr.sk/wp-content/uploads/natura/legislativa/uev/ciele/SKUEV0201.docx","Spracované")</f>
        <v>Spracované</v>
      </c>
      <c r="G187" s="8"/>
      <c r="H187" s="9" t="s">
        <v>11</v>
      </c>
      <c r="I187" s="9" t="s">
        <v>61</v>
      </c>
      <c r="J187" s="16" t="s">
        <v>34</v>
      </c>
      <c r="K187" s="38">
        <v>100</v>
      </c>
    </row>
    <row r="188" spans="1:11" x14ac:dyDescent="0.25">
      <c r="A188" s="6" t="s">
        <v>426</v>
      </c>
      <c r="B188" s="36" t="s">
        <v>427</v>
      </c>
      <c r="C188" s="7" t="str">
        <f>HYPERLINK("https://data.sopsr.sk/chranene-objekty/chranene-uzemia/detail/SKUEV0202","Trešková")</f>
        <v>Trešková</v>
      </c>
      <c r="D188" s="33">
        <v>26.099</v>
      </c>
      <c r="E188" s="44" t="str">
        <f>HYPERLINK("https://natura2000.sopsr.sk/lokality/uev/lokality-uev/?uev=SKUEV0202","Odkaz")</f>
        <v>Odkaz</v>
      </c>
      <c r="F188" s="44" t="str">
        <f>HYPERLINK("https://natura2000.sopsr.sk/wp-content/uploads/natura/legislativa/uev/ciele/SKUEV0202.docx","Spracované")</f>
        <v>Spracované</v>
      </c>
      <c r="G188" s="10" t="s">
        <v>10</v>
      </c>
      <c r="H188" s="10" t="s">
        <v>11</v>
      </c>
      <c r="I188" s="9" t="s">
        <v>61</v>
      </c>
      <c r="J188" s="16" t="s">
        <v>13</v>
      </c>
      <c r="K188" s="38">
        <v>0</v>
      </c>
    </row>
    <row r="189" spans="1:11" x14ac:dyDescent="0.25">
      <c r="A189" s="6" t="s">
        <v>428</v>
      </c>
      <c r="B189" s="36" t="s">
        <v>429</v>
      </c>
      <c r="C189" s="7" t="str">
        <f>HYPERLINK("https://data.sopsr.sk/chranene-objekty/chranene-uzemia/detail/SKUEV0203","Stolica")</f>
        <v>Stolica</v>
      </c>
      <c r="D189" s="33">
        <v>2826.4283</v>
      </c>
      <c r="E189" s="44" t="str">
        <f>HYPERLINK("https://natura2000.sopsr.sk/lokality/uev/lokality-uev/?uev=SKUEV0203","Odkaz")</f>
        <v>Odkaz</v>
      </c>
      <c r="F189" s="44" t="str">
        <f>HYPERLINK("https://natura2000.sopsr.sk/wp-content/uploads/natura/legislativa/uev/ciele/SKUEV0203.docx","Spracované")</f>
        <v>Spracované</v>
      </c>
      <c r="G189" s="14" t="s">
        <v>23</v>
      </c>
      <c r="H189" s="10" t="s">
        <v>11</v>
      </c>
      <c r="I189" s="10" t="s">
        <v>430</v>
      </c>
      <c r="J189" s="16" t="s">
        <v>13</v>
      </c>
      <c r="K189" s="38">
        <v>0</v>
      </c>
    </row>
    <row r="190" spans="1:11" x14ac:dyDescent="0.25">
      <c r="A190" s="6" t="s">
        <v>431</v>
      </c>
      <c r="B190" s="36" t="s">
        <v>432</v>
      </c>
      <c r="C190" s="7" t="str">
        <f>HYPERLINK("https://data.sopsr.sk/chranene-objekty/chranene-uzemia/detail/SKUEV0204","Homoľa")</f>
        <v>Homoľa</v>
      </c>
      <c r="D190" s="33">
        <v>22.730599999999999</v>
      </c>
      <c r="E190" s="44" t="str">
        <f>HYPERLINK("https://natura2000.sopsr.sk/lokality/uev/lokality-uev/?uev=SKUEV0204","Odkaz")</f>
        <v>Odkaz</v>
      </c>
      <c r="F190" s="44" t="str">
        <f>HYPERLINK("https://natura2000.sopsr.sk/wp-content/uploads/natura/legislativa/uev/ciele/SKUEV0204.docx","Spracované")</f>
        <v>Spracované</v>
      </c>
      <c r="G190" s="14" t="s">
        <v>23</v>
      </c>
      <c r="H190" s="10" t="s">
        <v>11</v>
      </c>
      <c r="I190" s="9" t="s">
        <v>61</v>
      </c>
      <c r="J190" s="16" t="s">
        <v>13</v>
      </c>
      <c r="K190" s="38">
        <v>98</v>
      </c>
    </row>
    <row r="191" spans="1:11" x14ac:dyDescent="0.25">
      <c r="A191" s="6" t="s">
        <v>433</v>
      </c>
      <c r="B191" s="36" t="s">
        <v>434</v>
      </c>
      <c r="C191" s="7" t="str">
        <f>HYPERLINK("https://data.sopsr.sk/chranene-objekty/chranene-uzemia/detail/SKUEV0205","Hubková")</f>
        <v>Hubková</v>
      </c>
      <c r="D191" s="33">
        <v>2794.2507000000001</v>
      </c>
      <c r="E191" s="44" t="str">
        <f>HYPERLINK("https://natura2000.sopsr.sk/lokality/uev/lokality-uev/?uev=SKUEV0205","Odkaz")</f>
        <v>Odkaz</v>
      </c>
      <c r="F191" s="44" t="str">
        <f>HYPERLINK("https://natura2000.sopsr.sk/wp-content/uploads/natura/legislativa/uev/ciele/SKUEV0205.docx","Spracované")</f>
        <v>Spracované</v>
      </c>
      <c r="G191" s="10" t="s">
        <v>10</v>
      </c>
      <c r="H191" s="10" t="s">
        <v>11</v>
      </c>
      <c r="I191" s="9" t="s">
        <v>55</v>
      </c>
      <c r="J191" s="10" t="s">
        <v>27</v>
      </c>
      <c r="K191" s="38">
        <v>0</v>
      </c>
    </row>
    <row r="192" spans="1:11" x14ac:dyDescent="0.25">
      <c r="A192" s="6" t="s">
        <v>435</v>
      </c>
      <c r="B192" s="36" t="s">
        <v>436</v>
      </c>
      <c r="C192" s="7" t="str">
        <f>HYPERLINK("https://data.sopsr.sk/chranene-objekty/chranene-uzemia/detail/SKUEV0206","Humenská")</f>
        <v>Humenská</v>
      </c>
      <c r="D192" s="33">
        <v>215.292</v>
      </c>
      <c r="E192" s="44" t="str">
        <f>HYPERLINK("https://natura2000.sopsr.sk/lokality/uev/lokality-uev/?uev=SKUEV0206","Odkaz")</f>
        <v>Odkaz</v>
      </c>
      <c r="F192" s="44" t="str">
        <f>HYPERLINK("https://natura2000.sopsr.sk/wp-content/uploads/natura/legislativa/uev/ciele/SKUEV0206.docx","Spracované")</f>
        <v>Spracované</v>
      </c>
      <c r="G192" s="10" t="s">
        <v>10</v>
      </c>
      <c r="H192" s="10" t="s">
        <v>11</v>
      </c>
      <c r="I192" s="9" t="s">
        <v>55</v>
      </c>
      <c r="J192" s="10" t="s">
        <v>27</v>
      </c>
      <c r="K192" s="38">
        <v>31</v>
      </c>
    </row>
    <row r="193" spans="1:11" x14ac:dyDescent="0.25">
      <c r="A193" s="6" t="s">
        <v>437</v>
      </c>
      <c r="B193" s="36" t="s">
        <v>438</v>
      </c>
      <c r="C193" s="7" t="str">
        <f>HYPERLINK("https://data.sopsr.sk/chranene-objekty/chranene-uzemia/detail/SKUEV0207","Kamenná Baba")</f>
        <v>Kamenná Baba</v>
      </c>
      <c r="D193" s="33">
        <v>345.25639999999999</v>
      </c>
      <c r="E193" s="44" t="str">
        <f>HYPERLINK("https://natura2000.sopsr.sk/lokality/uev/lokality-uev/?uev=SKUEV0207","Odkaz")</f>
        <v>Odkaz</v>
      </c>
      <c r="F193" s="44" t="str">
        <f>HYPERLINK("https://natura2000.sopsr.sk/wp-content/uploads/natura/legislativa/uev/ciele/SKUEV0207.docx","Spracované")</f>
        <v>Spracované</v>
      </c>
      <c r="G193" s="10" t="s">
        <v>10</v>
      </c>
      <c r="H193" s="9" t="s">
        <v>11</v>
      </c>
      <c r="I193" s="9" t="s">
        <v>55</v>
      </c>
      <c r="J193" s="10" t="s">
        <v>1401</v>
      </c>
      <c r="K193" s="38">
        <v>37</v>
      </c>
    </row>
    <row r="194" spans="1:11" ht="15.75" customHeight="1" x14ac:dyDescent="0.25">
      <c r="A194" s="6" t="s">
        <v>439</v>
      </c>
      <c r="B194" s="36" t="s">
        <v>440</v>
      </c>
      <c r="C194" s="7" t="str">
        <f>HYPERLINK("https://data.sopsr.sk/chranene-objekty/chranene-uzemia/detail/SKUEV0208","Senianske rybníky")</f>
        <v>Senianske rybníky</v>
      </c>
      <c r="D194" s="33">
        <v>213.11850000000001</v>
      </c>
      <c r="E194" s="44" t="str">
        <f>HYPERLINK("https://natura2000.sopsr.sk/lokality/uev/lokality-uev/?uev=SKUEV0208","Odkaz")</f>
        <v>Odkaz</v>
      </c>
      <c r="F194" s="44" t="str">
        <f>HYPERLINK("https://natura2000.sopsr.sk/wp-content/uploads/natura/legislativa/uev/ciele/SKUEV0208.docx","Spracované")</f>
        <v>Spracované</v>
      </c>
      <c r="G194" s="10" t="s">
        <v>10</v>
      </c>
      <c r="H194" s="9" t="s">
        <v>20</v>
      </c>
      <c r="I194" s="10" t="s">
        <v>64</v>
      </c>
      <c r="J194" s="10" t="s">
        <v>444</v>
      </c>
      <c r="K194" s="38">
        <v>100</v>
      </c>
    </row>
    <row r="195" spans="1:11" ht="15" customHeight="1" x14ac:dyDescent="0.25">
      <c r="A195" s="6" t="s">
        <v>441</v>
      </c>
      <c r="B195" s="36" t="s">
        <v>442</v>
      </c>
      <c r="C195" s="7" t="str">
        <f>HYPERLINK("https://data.sopsr.sk/chranene-objekty/chranene-uzemia/detail/SKUEV0209","Morské oko")</f>
        <v>Morské oko</v>
      </c>
      <c r="D195" s="33">
        <v>16006.559800000001</v>
      </c>
      <c r="E195" s="44" t="str">
        <f>HYPERLINK("https://natura2000.sopsr.sk/lokality/uev/lokality-uev/?uev=SKUEV0209","Odkaz")</f>
        <v>Odkaz</v>
      </c>
      <c r="F195" s="44" t="str">
        <f>HYPERLINK("https://natura2000.sopsr.sk/wp-content/uploads/natura/legislativa/uev/ciele/SKUEV0209.docx","Spracované")</f>
        <v>Spracované</v>
      </c>
      <c r="G195" s="10" t="s">
        <v>10</v>
      </c>
      <c r="H195" s="10" t="s">
        <v>11</v>
      </c>
      <c r="I195" s="10" t="s">
        <v>443</v>
      </c>
      <c r="J195" s="10" t="s">
        <v>444</v>
      </c>
      <c r="K195" s="38">
        <v>68</v>
      </c>
    </row>
    <row r="196" spans="1:11" x14ac:dyDescent="0.25">
      <c r="A196" s="6" t="s">
        <v>445</v>
      </c>
      <c r="B196" s="36" t="s">
        <v>446</v>
      </c>
      <c r="C196" s="7" t="str">
        <f>HYPERLINK("https://data.sopsr.sk/chranene-objekty/chranene-uzemia/detail/SKUEV0210","Stinská")</f>
        <v>Stinská</v>
      </c>
      <c r="D196" s="33">
        <v>1551.3853999999999</v>
      </c>
      <c r="E196" s="44" t="str">
        <f>HYPERLINK("https://natura2000.sopsr.sk/lokality/uev/lokality-uev/?uev=SKUEV0210","Odkaz")</f>
        <v>Odkaz</v>
      </c>
      <c r="F196" s="44" t="str">
        <f>HYPERLINK("https://natura2000.sopsr.sk/wp-content/uploads/natura/legislativa/uev/ciele/SKUEV0210.docx","Spracované")</f>
        <v>Spracované</v>
      </c>
      <c r="G196" s="8" t="s">
        <v>23</v>
      </c>
      <c r="H196" s="10" t="s">
        <v>11</v>
      </c>
      <c r="I196" s="9" t="s">
        <v>55</v>
      </c>
      <c r="J196" s="10" t="s">
        <v>143</v>
      </c>
      <c r="K196" s="38">
        <v>100</v>
      </c>
    </row>
    <row r="197" spans="1:11" x14ac:dyDescent="0.25">
      <c r="A197" s="6" t="s">
        <v>447</v>
      </c>
      <c r="B197" s="36" t="s">
        <v>448</v>
      </c>
      <c r="C197" s="7" t="str">
        <f>HYPERLINK("https://data.sopsr.sk/chranene-objekty/chranene-uzemia/detail/SKUEV0211","Daňová")</f>
        <v>Daňová</v>
      </c>
      <c r="D197" s="33">
        <v>900.26099999999997</v>
      </c>
      <c r="E197" s="44" t="str">
        <f>HYPERLINK("https://natura2000.sopsr.sk/lokality/uev/lokality-uev/?uev=SKUEV0211","Odkaz")</f>
        <v>Odkaz</v>
      </c>
      <c r="F197" s="44" t="str">
        <f>HYPERLINK("https://natura2000.sopsr.sk/wp-content/uploads/natura/legislativa/uev/ciele/SKUEV0211.docx","Spracované")</f>
        <v>Spracované</v>
      </c>
      <c r="G197" s="10" t="s">
        <v>10</v>
      </c>
      <c r="H197" s="10" t="s">
        <v>11</v>
      </c>
      <c r="I197" s="9" t="s">
        <v>55</v>
      </c>
      <c r="J197" s="10" t="s">
        <v>27</v>
      </c>
      <c r="K197" s="38">
        <v>100</v>
      </c>
    </row>
    <row r="198" spans="1:11" x14ac:dyDescent="0.25">
      <c r="A198" s="6" t="s">
        <v>449</v>
      </c>
      <c r="B198" s="36" t="s">
        <v>450</v>
      </c>
      <c r="C198" s="7" t="str">
        <f>HYPERLINK("https://data.sopsr.sk/chranene-objekty/chranene-uzemia/detail/SKUEV0212","Muteň")</f>
        <v>Muteň</v>
      </c>
      <c r="D198" s="33">
        <v>33.080599999999997</v>
      </c>
      <c r="E198" s="44" t="str">
        <f>HYPERLINK("https://natura2000.sopsr.sk/lokality/uev/lokality-uev/?uev=SKUEV0212","Odkaz")</f>
        <v>Odkaz</v>
      </c>
      <c r="F198" s="44" t="str">
        <f>HYPERLINK("https://natura2000.sopsr.sk/wp-content/uploads/natura/legislativa/uev/ciele/SKUEV0212.docx","Spracované")</f>
        <v>Spracované</v>
      </c>
      <c r="G198" s="10" t="s">
        <v>10</v>
      </c>
      <c r="H198" s="9" t="s">
        <v>91</v>
      </c>
      <c r="I198" s="10" t="s">
        <v>61</v>
      </c>
      <c r="J198" s="10" t="s">
        <v>13</v>
      </c>
      <c r="K198" s="38">
        <v>0</v>
      </c>
    </row>
    <row r="199" spans="1:11" x14ac:dyDescent="0.25">
      <c r="A199" s="6" t="s">
        <v>451</v>
      </c>
      <c r="B199" s="36" t="s">
        <v>452</v>
      </c>
      <c r="C199" s="7" t="str">
        <f>HYPERLINK("https://data.sopsr.sk/chranene-objekty/chranene-uzemia/detail/SKUEV0213","Kazarka")</f>
        <v>Kazarka</v>
      </c>
      <c r="D199" s="33">
        <v>106.28360000000001</v>
      </c>
      <c r="E199" s="44" t="str">
        <f>HYPERLINK("https://natura2000.sopsr.sk/lokality/uev/lokality-uev/?uev=SKUEV0213","Odkaz")</f>
        <v>Odkaz</v>
      </c>
      <c r="F199" s="44" t="str">
        <f>HYPERLINK("https://natura2000.sopsr.sk/wp-content/uploads/natura/legislativa/uev/ciele/SKUEV0213.docx","Spracované")</f>
        <v>Spracované</v>
      </c>
      <c r="G199" s="10" t="s">
        <v>10</v>
      </c>
      <c r="H199" s="9" t="s">
        <v>20</v>
      </c>
      <c r="I199" s="9" t="s">
        <v>167</v>
      </c>
      <c r="J199" s="10" t="s">
        <v>250</v>
      </c>
      <c r="K199" s="38">
        <v>49</v>
      </c>
    </row>
    <row r="200" spans="1:11" x14ac:dyDescent="0.25">
      <c r="A200" s="6" t="s">
        <v>453</v>
      </c>
      <c r="B200" s="36" t="s">
        <v>454</v>
      </c>
      <c r="C200" s="7" t="str">
        <f>HYPERLINK("https://data.sopsr.sk/chranene-objekty/chranene-uzemia/detail/SKUEV0216","Sitno")</f>
        <v>Sitno</v>
      </c>
      <c r="D200" s="33">
        <v>970.64840000000004</v>
      </c>
      <c r="E200" s="44" t="str">
        <f>HYPERLINK("https://natura2000.sopsr.sk/lokality/uev/lokality-uev/?uev=SKUEV0216","Odkaz")</f>
        <v>Odkaz</v>
      </c>
      <c r="F200" s="44" t="str">
        <f>HYPERLINK("https://natura2000.sopsr.sk/wp-content/uploads/natura/legislativa/uev/ciele/SKUEV0216.docx","Spracované")</f>
        <v>Spracované</v>
      </c>
      <c r="G200" s="10" t="s">
        <v>10</v>
      </c>
      <c r="H200" s="10" t="s">
        <v>11</v>
      </c>
      <c r="I200" s="9" t="s">
        <v>61</v>
      </c>
      <c r="J200" s="10" t="s">
        <v>52</v>
      </c>
      <c r="K200" s="38">
        <v>100</v>
      </c>
    </row>
    <row r="201" spans="1:11" x14ac:dyDescent="0.25">
      <c r="A201" s="6" t="s">
        <v>455</v>
      </c>
      <c r="B201" s="36" t="s">
        <v>456</v>
      </c>
      <c r="C201" s="7" t="str">
        <f>HYPERLINK("https://data.sopsr.sk/chranene-objekty/chranene-uzemia/detail/SKUEV0217","Ondriašov potok")</f>
        <v>Ondriašov potok</v>
      </c>
      <c r="D201" s="33">
        <v>8.3132000000000001</v>
      </c>
      <c r="E201" s="44" t="str">
        <f>HYPERLINK("https://natura2000.sopsr.sk/lokality/uev/lokality-uev/?uev=SKUEV0217","Odkaz")</f>
        <v>Odkaz</v>
      </c>
      <c r="F201" s="44" t="str">
        <f>HYPERLINK("https://natura2000.sopsr.sk/wp-content/uploads/natura/legislativa/uev/ciele/SKUEV0217.docx","Spracované")</f>
        <v>Spracované</v>
      </c>
      <c r="G201" s="10" t="s">
        <v>10</v>
      </c>
      <c r="H201" s="9" t="s">
        <v>20</v>
      </c>
      <c r="I201" s="10" t="s">
        <v>146</v>
      </c>
      <c r="J201" s="10" t="s">
        <v>250</v>
      </c>
      <c r="K201" s="38">
        <v>0</v>
      </c>
    </row>
    <row r="202" spans="1:11" x14ac:dyDescent="0.25">
      <c r="A202" s="6" t="s">
        <v>457</v>
      </c>
      <c r="B202" s="36" t="s">
        <v>458</v>
      </c>
      <c r="C202" s="7" t="str">
        <f>HYPERLINK("https://data.sopsr.sk/chranene-objekty/chranene-uzemia/detail/SKUEV0218","Močiarka")</f>
        <v>Močiarka</v>
      </c>
      <c r="D202" s="33">
        <v>222.10230000000001</v>
      </c>
      <c r="E202" s="44" t="str">
        <f>HYPERLINK("https://natura2000.sopsr.sk/lokality/uev/lokality-uev/?uev=SKUEV0218","Odkaz")</f>
        <v>Odkaz</v>
      </c>
      <c r="F202" s="44" t="str">
        <f>HYPERLINK("https://natura2000.sopsr.sk/wp-content/uploads/natura/legislativa/uev/ciele/SKUEV0218.docx","Spracované")</f>
        <v>Spracované</v>
      </c>
      <c r="G202" s="10" t="s">
        <v>10</v>
      </c>
      <c r="H202" s="9" t="s">
        <v>20</v>
      </c>
      <c r="I202" s="10" t="s">
        <v>146</v>
      </c>
      <c r="J202" s="10" t="s">
        <v>250</v>
      </c>
      <c r="K202" s="38">
        <v>0</v>
      </c>
    </row>
    <row r="203" spans="1:11" x14ac:dyDescent="0.25">
      <c r="A203" s="6" t="s">
        <v>459</v>
      </c>
      <c r="B203" s="36" t="s">
        <v>460</v>
      </c>
      <c r="C203" s="7" t="str">
        <f>HYPERLINK("https://data.sopsr.sk/chranene-objekty/chranene-uzemia/detail/SKUEV0219","Malina")</f>
        <v>Malina</v>
      </c>
      <c r="D203" s="33">
        <v>438.8836</v>
      </c>
      <c r="E203" s="44" t="str">
        <f>HYPERLINK("https://natura2000.sopsr.sk/lokality/uev/lokality-uev/?uev=SKUEV0219","Odkaz")</f>
        <v>Odkaz</v>
      </c>
      <c r="F203" s="44" t="str">
        <f>HYPERLINK("https://natura2000.sopsr.sk/wp-content/uploads/natura/legislativa/uev/ciele/SKUEV0219.docx","Spracované")</f>
        <v>Spracované</v>
      </c>
      <c r="G203" s="10" t="s">
        <v>10</v>
      </c>
      <c r="H203" s="9" t="s">
        <v>20</v>
      </c>
      <c r="I203" s="10" t="s">
        <v>146</v>
      </c>
      <c r="J203" s="10" t="s">
        <v>250</v>
      </c>
      <c r="K203" s="38">
        <v>0</v>
      </c>
    </row>
    <row r="204" spans="1:11" x14ac:dyDescent="0.25">
      <c r="A204" s="6" t="s">
        <v>461</v>
      </c>
      <c r="B204" s="36" t="s">
        <v>462</v>
      </c>
      <c r="C204" s="7" t="str">
        <f>HYPERLINK("https://data.sopsr.sk/chranene-objekty/chranene-uzemia/detail/SKUEV0220","Šaštínsky potok")</f>
        <v>Šaštínsky potok</v>
      </c>
      <c r="D204" s="33">
        <v>28.106400000000001</v>
      </c>
      <c r="E204" s="44" t="str">
        <f>HYPERLINK("https://natura2000.sopsr.sk/lokality/uev/lokality-uev/?uev=SKUEV0220","Odkaz")</f>
        <v>Odkaz</v>
      </c>
      <c r="F204" s="44" t="str">
        <f>HYPERLINK("https://natura2000.sopsr.sk/wp-content/uploads/natura/legislativa/uev/ciele/SKUEV0220.docx","Spracované")</f>
        <v>Spracované</v>
      </c>
      <c r="G204" s="10" t="s">
        <v>10</v>
      </c>
      <c r="H204" s="9" t="s">
        <v>20</v>
      </c>
      <c r="I204" s="9" t="s">
        <v>167</v>
      </c>
      <c r="J204" s="10" t="s">
        <v>250</v>
      </c>
      <c r="K204" s="38">
        <v>57</v>
      </c>
    </row>
    <row r="205" spans="1:11" x14ac:dyDescent="0.25">
      <c r="A205" s="6" t="s">
        <v>463</v>
      </c>
      <c r="B205" s="36" t="s">
        <v>464</v>
      </c>
      <c r="C205" s="7" t="str">
        <f>HYPERLINK("https://data.sopsr.sk/chranene-objekty/chranene-uzemia/detail/SKUEV0221","Varínka")</f>
        <v>Varínka</v>
      </c>
      <c r="D205" s="33">
        <v>110.2392</v>
      </c>
      <c r="E205" s="44" t="str">
        <f>HYPERLINK("https://natura2000.sopsr.sk/lokality/uev/lokality-uev/?uev=SKUEV0221","Odkaz")</f>
        <v>Odkaz</v>
      </c>
      <c r="F205" s="44" t="str">
        <f>HYPERLINK("https://natura2000.sopsr.sk/wp-content/uploads/natura/legislativa/uev/ciele/SKUEV0221.docx","Spracované")</f>
        <v>Spracované</v>
      </c>
      <c r="G205" s="10" t="s">
        <v>10</v>
      </c>
      <c r="H205" s="10" t="s">
        <v>11</v>
      </c>
      <c r="I205" s="9" t="s">
        <v>127</v>
      </c>
      <c r="J205" s="10" t="s">
        <v>465</v>
      </c>
      <c r="K205" s="38">
        <v>100</v>
      </c>
    </row>
    <row r="206" spans="1:11" x14ac:dyDescent="0.25">
      <c r="A206" s="6" t="s">
        <v>466</v>
      </c>
      <c r="B206" s="36" t="s">
        <v>467</v>
      </c>
      <c r="C206" s="7" t="str">
        <f>HYPERLINK("https://data.sopsr.sk/chranene-objekty/chranene-uzemia/detail/SKUEV0222","Jelešňa")</f>
        <v>Jelešňa</v>
      </c>
      <c r="D206" s="33">
        <v>161.71170000000001</v>
      </c>
      <c r="E206" s="44" t="str">
        <f>HYPERLINK("https://natura2000.sopsr.sk/lokality/uev/lokality-uev/?uev=SKUEV0222","Odkaz")</f>
        <v>Odkaz</v>
      </c>
      <c r="F206" s="44" t="str">
        <f>HYPERLINK("https://natura2000.sopsr.sk/wp-content/uploads/natura/legislativa/uev/ciele/SKUEV0222.docx","Spracované")</f>
        <v>Spracované</v>
      </c>
      <c r="G206" s="10" t="s">
        <v>10</v>
      </c>
      <c r="H206" s="10" t="s">
        <v>11</v>
      </c>
      <c r="I206" s="9" t="s">
        <v>127</v>
      </c>
      <c r="J206" s="10" t="s">
        <v>128</v>
      </c>
      <c r="K206" s="38">
        <v>100</v>
      </c>
    </row>
    <row r="207" spans="1:11" x14ac:dyDescent="0.25">
      <c r="A207" s="6" t="s">
        <v>468</v>
      </c>
      <c r="B207" s="36" t="s">
        <v>469</v>
      </c>
      <c r="C207" s="7" t="str">
        <f>HYPERLINK("https://data.sopsr.sk/chranene-objekty/chranene-uzemia/detail/SKUEV0224","Jereňaš")</f>
        <v>Jereňaš</v>
      </c>
      <c r="D207" s="33">
        <v>137.09049999999999</v>
      </c>
      <c r="E207" s="44" t="str">
        <f>HYPERLINK("https://natura2000.sopsr.sk/lokality/uev/lokality-uev/?uev=SKUEV0224","Odkaz")</f>
        <v>Odkaz</v>
      </c>
      <c r="F207" s="44" t="str">
        <f>HYPERLINK("https://natura2000.sopsr.sk/wp-content/uploads/natura/legislativa/uev/ciele/SKUEV0224.docx","Spracované")</f>
        <v>Spracované</v>
      </c>
      <c r="G207" s="10" t="s">
        <v>10</v>
      </c>
      <c r="H207" s="10" t="s">
        <v>11</v>
      </c>
      <c r="I207" s="9" t="s">
        <v>470</v>
      </c>
      <c r="J207" s="10" t="s">
        <v>231</v>
      </c>
      <c r="K207" s="38">
        <v>0</v>
      </c>
    </row>
    <row r="208" spans="1:11" ht="29.25" customHeight="1" x14ac:dyDescent="0.25">
      <c r="A208" s="6" t="s">
        <v>471</v>
      </c>
      <c r="B208" s="36" t="s">
        <v>472</v>
      </c>
      <c r="C208" s="7" t="str">
        <f>HYPERLINK("https://data.sopsr.sk/chranene-objekty/chranene-uzemia/detail/SKUEV0225","Muránska planina")</f>
        <v>Muránska planina</v>
      </c>
      <c r="D208" s="33">
        <v>20243.1751</v>
      </c>
      <c r="E208" s="44" t="str">
        <f>HYPERLINK("https://natura2000.sopsr.sk/lokality/uev/lokality-uev/?uev=SKUEV0225","Odkaz")</f>
        <v>Odkaz</v>
      </c>
      <c r="F208" s="44" t="str">
        <f>HYPERLINK("https://natura2000.sopsr.sk/wp-content/uploads/natura/legislativa/uev/ciele/SKUEV0225.docx","Spracované")</f>
        <v>Spracované</v>
      </c>
      <c r="G208" s="14" t="s">
        <v>23</v>
      </c>
      <c r="H208" s="9" t="s">
        <v>11</v>
      </c>
      <c r="I208" s="9" t="s">
        <v>61</v>
      </c>
      <c r="J208" s="10" t="s">
        <v>13</v>
      </c>
      <c r="K208" s="38">
        <v>100</v>
      </c>
    </row>
    <row r="209" spans="1:11" x14ac:dyDescent="0.25">
      <c r="A209" s="6" t="s">
        <v>473</v>
      </c>
      <c r="B209" s="36" t="s">
        <v>474</v>
      </c>
      <c r="C209" s="7" t="str">
        <f>HYPERLINK("https://data.sopsr.sk/chranene-objekty/chranene-uzemia/detail/SKUEV0226","Vanišovec")</f>
        <v>Vanišovec</v>
      </c>
      <c r="D209" s="33">
        <v>196.82730000000001</v>
      </c>
      <c r="E209" s="44" t="str">
        <f>HYPERLINK("https://natura2000.sopsr.sk/lokality/uev/lokality-uev/?uev=SKUEV0226","Odkaz")</f>
        <v>Odkaz</v>
      </c>
      <c r="F209" s="44" t="str">
        <f>HYPERLINK("https://natura2000.sopsr.sk/wp-content/uploads/natura/legislativa/uev/ciele/SKUEV0226.docx","Spracované")</f>
        <v>Spracované</v>
      </c>
      <c r="G209" s="15" t="s">
        <v>10</v>
      </c>
      <c r="H209" s="9" t="s">
        <v>20</v>
      </c>
      <c r="I209" s="9" t="s">
        <v>167</v>
      </c>
      <c r="J209" s="10" t="s">
        <v>250</v>
      </c>
      <c r="K209" s="38">
        <v>100</v>
      </c>
    </row>
    <row r="210" spans="1:11" x14ac:dyDescent="0.25">
      <c r="A210" s="6" t="s">
        <v>475</v>
      </c>
      <c r="B210" s="36" t="s">
        <v>476</v>
      </c>
      <c r="C210" s="7" t="str">
        <f>HYPERLINK("https://data.sopsr.sk/chranene-objekty/chranene-uzemia/detail/SKUEV0227","Čiližské močiare")</f>
        <v>Čiližské močiare</v>
      </c>
      <c r="D210" s="33">
        <v>478.3159</v>
      </c>
      <c r="E210" s="44" t="str">
        <f>HYPERLINK("https://natura2000.sopsr.sk/lokality/uev/lokality-uev/?uev=SKUEV0227","Odkaz")</f>
        <v>Odkaz</v>
      </c>
      <c r="F210" s="44" t="str">
        <f>HYPERLINK("https://natura2000.sopsr.sk/wp-content/uploads/natura/legislativa/uev/ciele/SKUEV0227.docx","Spracované")</f>
        <v>Spracované</v>
      </c>
      <c r="G210" s="10" t="s">
        <v>10</v>
      </c>
      <c r="H210" s="9" t="s">
        <v>20</v>
      </c>
      <c r="I210" s="9" t="s">
        <v>167</v>
      </c>
      <c r="J210" s="10" t="s">
        <v>40</v>
      </c>
      <c r="K210" s="38">
        <v>100</v>
      </c>
    </row>
    <row r="211" spans="1:11" x14ac:dyDescent="0.25">
      <c r="A211" s="6" t="s">
        <v>477</v>
      </c>
      <c r="B211" s="36" t="s">
        <v>478</v>
      </c>
      <c r="C211" s="7" t="str">
        <f>HYPERLINK("https://data.sopsr.sk/chranene-objekty/chranene-uzemia/detail/SKUEV0228","Švihrová")</f>
        <v>Švihrová</v>
      </c>
      <c r="D211" s="33">
        <v>3.7705000000000002</v>
      </c>
      <c r="E211" s="44" t="str">
        <f>HYPERLINK("https://natura2000.sopsr.sk/lokality/uev/lokality-uev/?uev=SKUEV0228","Odkaz")</f>
        <v>Odkaz</v>
      </c>
      <c r="F211" s="44" t="str">
        <f>HYPERLINK("https://natura2000.sopsr.sk/wp-content/uploads/natura/legislativa/uev/ciele/SKUEV0228.docx","Spracované")</f>
        <v>Spracované</v>
      </c>
      <c r="G211" s="10" t="s">
        <v>10</v>
      </c>
      <c r="H211" s="10" t="s">
        <v>11</v>
      </c>
      <c r="I211" s="9" t="s">
        <v>127</v>
      </c>
      <c r="J211" s="10" t="s">
        <v>299</v>
      </c>
      <c r="K211" s="38">
        <v>100</v>
      </c>
    </row>
    <row r="212" spans="1:11" x14ac:dyDescent="0.25">
      <c r="A212" s="6" t="s">
        <v>479</v>
      </c>
      <c r="B212" s="36" t="s">
        <v>480</v>
      </c>
      <c r="C212" s="7" t="str">
        <f>HYPERLINK("https://data.sopsr.sk/chranene-objekty/chranene-uzemia/detail/SKUEV0229","Bukovské vrchy")</f>
        <v>Bukovské vrchy</v>
      </c>
      <c r="D212" s="33">
        <v>29248.7412</v>
      </c>
      <c r="E212" s="44" t="str">
        <f>HYPERLINK("https://natura2000.sopsr.sk/lokality/uev/lokality-uev/?uev=SKUEV0229","Odkaz")</f>
        <v>Odkaz</v>
      </c>
      <c r="F212" s="44" t="str">
        <f>HYPERLINK("https://natura2000.sopsr.sk/wp-content/uploads/natura/legislativa/uev/ciele/SKUEV0229.docx","Spracované")</f>
        <v>Spracované</v>
      </c>
      <c r="G212" s="8" t="s">
        <v>23</v>
      </c>
      <c r="H212" s="10" t="s">
        <v>11</v>
      </c>
      <c r="I212" s="9" t="s">
        <v>55</v>
      </c>
      <c r="J212" s="10" t="s">
        <v>143</v>
      </c>
      <c r="K212" s="38">
        <v>100</v>
      </c>
    </row>
    <row r="213" spans="1:11" x14ac:dyDescent="0.25">
      <c r="A213" s="6" t="s">
        <v>481</v>
      </c>
      <c r="B213" s="36" t="s">
        <v>482</v>
      </c>
      <c r="C213" s="7" t="str">
        <f>HYPERLINK("https://data.sopsr.sk/chranene-objekty/chranene-uzemia/detail/SKUEV0230","Makovica")</f>
        <v>Makovica</v>
      </c>
      <c r="D213" s="33">
        <v>442.70600000000002</v>
      </c>
      <c r="E213" s="44" t="str">
        <f>HYPERLINK("https://natura2000.sopsr.sk/lokality/uev/lokality-uev/?uev=SKUEV0230","Odkaz")</f>
        <v>Odkaz</v>
      </c>
      <c r="F213" s="44" t="str">
        <f>HYPERLINK("https://natura2000.sopsr.sk/wp-content/uploads/natura/legislativa/uev/ciele/SKUEV0230.docx","Spracované")</f>
        <v>Spracované</v>
      </c>
      <c r="G213" s="10" t="s">
        <v>10</v>
      </c>
      <c r="H213" s="10" t="s">
        <v>11</v>
      </c>
      <c r="I213" s="9" t="s">
        <v>55</v>
      </c>
      <c r="J213" s="10" t="s">
        <v>27</v>
      </c>
      <c r="K213" s="38">
        <v>2</v>
      </c>
    </row>
    <row r="214" spans="1:11" x14ac:dyDescent="0.25">
      <c r="A214" s="6" t="s">
        <v>483</v>
      </c>
      <c r="B214" s="36" t="s">
        <v>484</v>
      </c>
      <c r="C214" s="7" t="str">
        <f>HYPERLINK("https://data.sopsr.sk/chranene-objekty/chranene-uzemia/detail/SKUEV0231","Brekovský hradný vrch")</f>
        <v>Brekovský hradný vrch</v>
      </c>
      <c r="D214" s="33">
        <v>41.435600000000001</v>
      </c>
      <c r="E214" s="44" t="str">
        <f>HYPERLINK("https://natura2000.sopsr.sk/lokality/uev/lokality-uev/?uev=SKUEV0231","Odkaz")</f>
        <v>Odkaz</v>
      </c>
      <c r="F214" s="44" t="str">
        <f>HYPERLINK("https://natura2000.sopsr.sk/wp-content/uploads/natura/legislativa/uev/ciele/SKUEV0231.docx","Spracované")</f>
        <v>Spracované</v>
      </c>
      <c r="G214" s="10" t="s">
        <v>10</v>
      </c>
      <c r="H214" s="10" t="s">
        <v>11</v>
      </c>
      <c r="I214" s="9" t="s">
        <v>55</v>
      </c>
      <c r="J214" s="10" t="s">
        <v>27</v>
      </c>
      <c r="K214" s="38">
        <v>0</v>
      </c>
    </row>
    <row r="215" spans="1:11" x14ac:dyDescent="0.25">
      <c r="A215" s="6" t="s">
        <v>485</v>
      </c>
      <c r="B215" s="36" t="s">
        <v>486</v>
      </c>
      <c r="C215" s="7" t="str">
        <f>HYPERLINK("https://data.sopsr.sk/chranene-objekty/chranene-uzemia/detail/SKUEV0232","Laborec")</f>
        <v>Laborec</v>
      </c>
      <c r="D215" s="33">
        <v>26.220099999999999</v>
      </c>
      <c r="E215" s="44" t="str">
        <f>HYPERLINK("https://natura2000.sopsr.sk/lokality/uev/lokality-uev/?uev=SKUEV0232","Odkaz")</f>
        <v>Odkaz</v>
      </c>
      <c r="F215" s="44" t="str">
        <f>HYPERLINK("https://natura2000.sopsr.sk/wp-content/uploads/natura/legislativa/uev/ciele/SKUEV0232.docx","Spracované")</f>
        <v>Spracované</v>
      </c>
      <c r="G215" s="13" t="s">
        <v>10</v>
      </c>
      <c r="H215" s="10" t="s">
        <v>11</v>
      </c>
      <c r="I215" s="9" t="s">
        <v>55</v>
      </c>
      <c r="J215" s="10" t="s">
        <v>27</v>
      </c>
      <c r="K215" s="38">
        <v>100</v>
      </c>
    </row>
    <row r="216" spans="1:11" x14ac:dyDescent="0.25">
      <c r="A216" s="6" t="s">
        <v>487</v>
      </c>
      <c r="B216" s="36" t="s">
        <v>488</v>
      </c>
      <c r="C216" s="7" t="str">
        <f>HYPERLINK("https://data.sopsr.sk/chranene-objekty/chranene-uzemia/detail/SKUEV0233","Sútok Udavy s Ílovnicou")</f>
        <v>Sútok Udavy s Ílovnicou</v>
      </c>
      <c r="D216" s="33">
        <v>21.571999999999999</v>
      </c>
      <c r="E216" s="44" t="str">
        <f>HYPERLINK("https://natura2000.sopsr.sk/lokality/uev/lokality-uev/?uev=SKUEV0233","Odkaz")</f>
        <v>Odkaz</v>
      </c>
      <c r="F216" s="44" t="str">
        <f>HYPERLINK("https://natura2000.sopsr.sk/wp-content/uploads/natura/legislativa/uev/ciele/SKUEV0233.docx","Spracované")</f>
        <v>Spracované</v>
      </c>
      <c r="G216" s="13" t="s">
        <v>10</v>
      </c>
      <c r="H216" s="10" t="s">
        <v>11</v>
      </c>
      <c r="I216" s="9" t="s">
        <v>55</v>
      </c>
      <c r="J216" s="10" t="s">
        <v>27</v>
      </c>
      <c r="K216" s="38">
        <v>0</v>
      </c>
    </row>
    <row r="217" spans="1:11" x14ac:dyDescent="0.25">
      <c r="A217" s="6" t="s">
        <v>489</v>
      </c>
      <c r="B217" s="36" t="s">
        <v>490</v>
      </c>
      <c r="C217" s="7" t="str">
        <f>HYPERLINK("https://data.sopsr.sk/chranene-objekty/chranene-uzemia/detail/SKUEV0234","Ulička")</f>
        <v>Ulička</v>
      </c>
      <c r="D217" s="33">
        <v>102.7654</v>
      </c>
      <c r="E217" s="44" t="str">
        <f>HYPERLINK("https://natura2000.sopsr.sk/lokality/uev/lokality-uev/?uev=SKUEV0234","Odkaz")</f>
        <v>Odkaz</v>
      </c>
      <c r="F217" s="44" t="str">
        <f>HYPERLINK("https://natura2000.sopsr.sk/wp-content/uploads/natura/legislativa/uev/ciele/SKUEV0234.docx","Spracované")</f>
        <v>Spracované</v>
      </c>
      <c r="G217" s="8" t="s">
        <v>23</v>
      </c>
      <c r="H217" s="9" t="s">
        <v>11</v>
      </c>
      <c r="I217" s="9" t="s">
        <v>55</v>
      </c>
      <c r="J217" s="10" t="s">
        <v>143</v>
      </c>
      <c r="K217" s="38">
        <v>100</v>
      </c>
    </row>
    <row r="218" spans="1:11" x14ac:dyDescent="0.25">
      <c r="A218" s="6" t="s">
        <v>491</v>
      </c>
      <c r="B218" s="36" t="s">
        <v>492</v>
      </c>
      <c r="C218" s="7" t="str">
        <f>HYPERLINK("https://data.sopsr.sk/chranene-objekty/chranene-uzemia/detail/SKUEV0235","Stretavka")</f>
        <v>Stretavka</v>
      </c>
      <c r="D218" s="33">
        <v>16.174399999999999</v>
      </c>
      <c r="E218" s="44" t="str">
        <f>HYPERLINK("https://natura2000.sopsr.sk/lokality/uev/lokality-uev/?uev=SKUEV0235","Odkaz")</f>
        <v>Odkaz</v>
      </c>
      <c r="F218" s="44" t="str">
        <f>HYPERLINK("https://natura2000.sopsr.sk/wp-content/uploads/natura/legislativa/uev/ciele/SKUEV0235.docx","Spracované")</f>
        <v>Spracované</v>
      </c>
      <c r="G218" s="8" t="s">
        <v>23</v>
      </c>
      <c r="H218" s="9" t="s">
        <v>20</v>
      </c>
      <c r="I218" s="10" t="s">
        <v>64</v>
      </c>
      <c r="J218" s="10" t="s">
        <v>444</v>
      </c>
      <c r="K218" s="38">
        <v>100</v>
      </c>
    </row>
    <row r="219" spans="1:11" x14ac:dyDescent="0.25">
      <c r="A219" s="6" t="s">
        <v>493</v>
      </c>
      <c r="B219" s="36" t="s">
        <v>494</v>
      </c>
      <c r="C219" s="7" t="str">
        <f>HYPERLINK("https://data.sopsr.sk/chranene-objekty/chranene-uzemia/detail/SKUEV0236","Bodrog")</f>
        <v>Bodrog</v>
      </c>
      <c r="D219" s="33">
        <v>187.7347</v>
      </c>
      <c r="E219" s="44" t="str">
        <f>HYPERLINK("https://natura2000.sopsr.sk/lokality/uev/lokality-uev/?uev=SKUEV0236","Odkaz")</f>
        <v>Odkaz</v>
      </c>
      <c r="F219" s="44" t="str">
        <f>HYPERLINK("https://natura2000.sopsr.sk/wp-content/uploads/natura/legislativa/uev/ciele/SKUEV0236.docx","Spracované")</f>
        <v>Spracované</v>
      </c>
      <c r="G219" s="10" t="s">
        <v>10</v>
      </c>
      <c r="H219" s="9" t="s">
        <v>20</v>
      </c>
      <c r="I219" s="10" t="s">
        <v>64</v>
      </c>
      <c r="J219" s="10" t="s">
        <v>22</v>
      </c>
      <c r="K219" s="38">
        <v>100</v>
      </c>
    </row>
    <row r="220" spans="1:11" x14ac:dyDescent="0.25">
      <c r="A220" s="6" t="s">
        <v>495</v>
      </c>
      <c r="B220" s="36" t="s">
        <v>496</v>
      </c>
      <c r="C220" s="7" t="str">
        <f>HYPERLINK("https://data.sopsr.sk/chranene-objekty/chranene-uzemia/detail/SKUEV0238","Veľká Fatra")</f>
        <v>Veľká Fatra</v>
      </c>
      <c r="D220" s="33">
        <v>46405.465600000003</v>
      </c>
      <c r="E220" s="44" t="str">
        <f>HYPERLINK("https://natura2000.sopsr.sk/lokality/uev/lokality-uev/?uev=SKUEV0238","Odkaz")</f>
        <v>Odkaz</v>
      </c>
      <c r="F220" s="44" t="str">
        <f>HYPERLINK("https://natura2000.sopsr.sk/wp-content/uploads/natura/legislativa/uev/ciele/SKUEV0238.docx","Spracované")</f>
        <v>Spracované</v>
      </c>
      <c r="G220" s="43" t="s">
        <v>23</v>
      </c>
      <c r="H220" s="10" t="s">
        <v>11</v>
      </c>
      <c r="I220" s="10" t="s">
        <v>419</v>
      </c>
      <c r="J220" s="10" t="s">
        <v>316</v>
      </c>
      <c r="K220" s="38">
        <v>100</v>
      </c>
    </row>
    <row r="221" spans="1:11" x14ac:dyDescent="0.25">
      <c r="A221" s="6" t="s">
        <v>497</v>
      </c>
      <c r="B221" s="36" t="s">
        <v>498</v>
      </c>
      <c r="C221" s="7" t="str">
        <f>HYPERLINK("https://data.sopsr.sk/chranene-objekty/chranene-uzemia/detail/SKUEV0239","Kozol")</f>
        <v>Kozol</v>
      </c>
      <c r="D221" s="33">
        <v>92.174800000000005</v>
      </c>
      <c r="E221" s="44" t="str">
        <f>HYPERLINK("https://natura2000.sopsr.sk/lokality/uev/lokality-uev/?uev=SKUEV0239","Odkaz")</f>
        <v>Odkaz</v>
      </c>
      <c r="F221" s="44" t="str">
        <f>HYPERLINK("https://natura2000.sopsr.sk/wp-content/uploads/natura/legislativa/uev/ciele/SKUEV0239.docx","Spracované")</f>
        <v>Spracované</v>
      </c>
      <c r="G221" s="10" t="s">
        <v>10</v>
      </c>
      <c r="H221" s="10" t="s">
        <v>11</v>
      </c>
      <c r="I221" s="9" t="s">
        <v>127</v>
      </c>
      <c r="J221" s="10" t="s">
        <v>465</v>
      </c>
      <c r="K221" s="38">
        <v>100</v>
      </c>
    </row>
    <row r="222" spans="1:11" x14ac:dyDescent="0.25">
      <c r="A222" s="6" t="s">
        <v>499</v>
      </c>
      <c r="B222" s="36" t="s">
        <v>500</v>
      </c>
      <c r="C222" s="7" t="str">
        <f>HYPERLINK("https://data.sopsr.sk/chranene-objekty/chranene-uzemia/detail/SKUEV0240","Kľak")</f>
        <v>Kľak</v>
      </c>
      <c r="D222" s="33">
        <v>98.6357</v>
      </c>
      <c r="E222" s="44" t="str">
        <f>HYPERLINK("https://natura2000.sopsr.sk/lokality/uev/lokality-uev/?uev=SKUEV0240","Odkaz")</f>
        <v>Odkaz</v>
      </c>
      <c r="F222" s="44" t="str">
        <f>HYPERLINK("https://natura2000.sopsr.sk/wp-content/uploads/natura/legislativa/uev/ciele/SKUEV0240.docx","Spracované")</f>
        <v>Spracované</v>
      </c>
      <c r="G222" s="10" t="s">
        <v>10</v>
      </c>
      <c r="H222" s="10" t="s">
        <v>11</v>
      </c>
      <c r="I222" s="9" t="s">
        <v>127</v>
      </c>
      <c r="J222" s="10" t="s">
        <v>465</v>
      </c>
      <c r="K222" s="38">
        <v>100</v>
      </c>
    </row>
    <row r="223" spans="1:11" x14ac:dyDescent="0.25">
      <c r="A223" s="6" t="s">
        <v>501</v>
      </c>
      <c r="B223" s="36" t="s">
        <v>502</v>
      </c>
      <c r="C223" s="7" t="str">
        <f>HYPERLINK("https://data.sopsr.sk/chranene-objekty/chranene-uzemia/detail/SKUEV0241","Svrčinník")</f>
        <v>Svrčinník</v>
      </c>
      <c r="D223" s="33">
        <v>222.74700000000001</v>
      </c>
      <c r="E223" s="44" t="str">
        <f>HYPERLINK("https://natura2000.sopsr.sk/lokality/uev/lokality-uev/?uev=SKUEV0241","Odkaz")</f>
        <v>Odkaz</v>
      </c>
      <c r="F223" s="44" t="str">
        <f>HYPERLINK("https://natura2000.sopsr.sk/wp-content/uploads/natura/legislativa/uev/ciele/SKUEV0241.docx","Spracované")</f>
        <v>Spracované</v>
      </c>
      <c r="G223" s="8" t="s">
        <v>140</v>
      </c>
      <c r="H223" s="9" t="s">
        <v>11</v>
      </c>
      <c r="I223" s="10" t="s">
        <v>419</v>
      </c>
      <c r="J223" s="10" t="s">
        <v>34</v>
      </c>
      <c r="K223" s="38">
        <v>100</v>
      </c>
    </row>
    <row r="224" spans="1:11" x14ac:dyDescent="0.25">
      <c r="A224" s="6" t="s">
        <v>503</v>
      </c>
      <c r="B224" s="36" t="s">
        <v>504</v>
      </c>
      <c r="C224" s="7" t="str">
        <f>HYPERLINK("https://data.sopsr.sk/chranene-objekty/chranene-uzemia/detail/SKUEV0243","Orava")</f>
        <v>Orava</v>
      </c>
      <c r="D224" s="33">
        <v>417.1678</v>
      </c>
      <c r="E224" s="44" t="str">
        <f>HYPERLINK("https://natura2000.sopsr.sk/lokality/uev/lokality-uev/?uev=SKUEV0243","Odkaz")</f>
        <v>Odkaz</v>
      </c>
      <c r="F224" s="44" t="str">
        <f>HYPERLINK("https://natura2000.sopsr.sk/wp-content/uploads/natura/legislativa/uev/ciele/SKUEV0243.docx","Spracované")</f>
        <v>Spracované</v>
      </c>
      <c r="G224" s="10" t="s">
        <v>10</v>
      </c>
      <c r="H224" s="10" t="s">
        <v>11</v>
      </c>
      <c r="I224" s="9" t="s">
        <v>127</v>
      </c>
      <c r="J224" s="10" t="s">
        <v>128</v>
      </c>
      <c r="K224" s="38">
        <v>100</v>
      </c>
    </row>
    <row r="225" spans="1:11" x14ac:dyDescent="0.25">
      <c r="A225" s="6" t="s">
        <v>505</v>
      </c>
      <c r="B225" s="36" t="s">
        <v>506</v>
      </c>
      <c r="C225" s="7" t="str">
        <f>HYPERLINK("https://data.sopsr.sk/chranene-objekty/chranene-uzemia/detail/SKUEV0244","Harmanecký Hlboký jarok")</f>
        <v>Harmanecký Hlboký jarok</v>
      </c>
      <c r="D225" s="33">
        <v>50.4497</v>
      </c>
      <c r="E225" s="44" t="str">
        <f>HYPERLINK("https://natura2000.sopsr.sk/lokality/uev/lokality-uev/?uev=SKUEV0244","Odkaz")</f>
        <v>Odkaz</v>
      </c>
      <c r="F225" s="44" t="str">
        <f>HYPERLINK("https://natura2000.sopsr.sk/wp-content/uploads/natura/legislativa/uev/ciele/SKUEV0244.docx","Spracované")</f>
        <v>Spracované</v>
      </c>
      <c r="G225" s="8" t="s">
        <v>23</v>
      </c>
      <c r="H225" s="10" t="s">
        <v>11</v>
      </c>
      <c r="I225" s="9" t="s">
        <v>61</v>
      </c>
      <c r="J225" s="10" t="s">
        <v>34</v>
      </c>
      <c r="K225" s="38">
        <v>100</v>
      </c>
    </row>
    <row r="226" spans="1:11" x14ac:dyDescent="0.25">
      <c r="A226" s="6" t="s">
        <v>507</v>
      </c>
      <c r="B226" s="36" t="s">
        <v>508</v>
      </c>
      <c r="C226" s="7" t="str">
        <f>HYPERLINK("https://data.sopsr.sk/chranene-objekty/chranene-uzemia/detail/SKUEV0245","Boky")</f>
        <v>Boky</v>
      </c>
      <c r="D226" s="33">
        <v>165.03649999999999</v>
      </c>
      <c r="E226" s="44" t="str">
        <f>HYPERLINK("https://natura2000.sopsr.sk/lokality/uev/lokality-uev/?uev=SKUEV0245","Odkaz")</f>
        <v>Odkaz</v>
      </c>
      <c r="F226" s="44" t="str">
        <f>HYPERLINK("https://natura2000.sopsr.sk/wp-content/uploads/natura/legislativa/uev/ciele/SKUEV0245.docx","Spracované")</f>
        <v>Spracované</v>
      </c>
      <c r="G226" s="8" t="s">
        <v>23</v>
      </c>
      <c r="H226" s="10" t="s">
        <v>11</v>
      </c>
      <c r="I226" s="9" t="s">
        <v>61</v>
      </c>
      <c r="J226" s="10" t="s">
        <v>34</v>
      </c>
      <c r="K226" s="38">
        <v>100</v>
      </c>
    </row>
    <row r="227" spans="1:11" x14ac:dyDescent="0.25">
      <c r="A227" s="6" t="s">
        <v>509</v>
      </c>
      <c r="B227" s="36" t="s">
        <v>510</v>
      </c>
      <c r="C227" s="7" t="str">
        <f>HYPERLINK("https://data.sopsr.sk/chranene-objekty/chranene-uzemia/detail/SKUEV0246","Šupín")</f>
        <v>Šupín</v>
      </c>
      <c r="D227" s="33">
        <v>11.3078</v>
      </c>
      <c r="E227" s="44" t="str">
        <f>HYPERLINK("https://natura2000.sopsr.sk/lokality/uev/lokality-uev/?uev=SKUEV0246","Odkaz")</f>
        <v>Odkaz</v>
      </c>
      <c r="F227" s="44" t="str">
        <f>HYPERLINK("https://natura2000.sopsr.sk/wp-content/uploads/natura/legislativa/uev/ciele/SKUEV0246.docx","Spracované")</f>
        <v>Spracované</v>
      </c>
      <c r="G227" s="8" t="s">
        <v>23</v>
      </c>
      <c r="H227" s="9" t="s">
        <v>11</v>
      </c>
      <c r="I227" s="9" t="s">
        <v>61</v>
      </c>
      <c r="J227" s="10" t="s">
        <v>34</v>
      </c>
      <c r="K227" s="38">
        <v>100</v>
      </c>
    </row>
    <row r="228" spans="1:11" x14ac:dyDescent="0.25">
      <c r="A228" s="6" t="s">
        <v>511</v>
      </c>
      <c r="B228" s="36" t="s">
        <v>512</v>
      </c>
      <c r="C228" s="7" t="str">
        <f>HYPERLINK("https://data.sopsr.sk/chranene-objekty/chranene-uzemia/detail/SKUEV0247","Rohy")</f>
        <v>Rohy</v>
      </c>
      <c r="D228" s="33">
        <v>24.197099999999999</v>
      </c>
      <c r="E228" s="44" t="str">
        <f>HYPERLINK("https://natura2000.sopsr.sk/lokality/uev/lokality-uev/?uev=SKUEV0247","Odkaz")</f>
        <v>Odkaz</v>
      </c>
      <c r="F228" s="44" t="str">
        <f>HYPERLINK("https://natura2000.sopsr.sk/wp-content/uploads/natura/legislativa/uev/ciele/SKUEV0247.docx","Spracované")</f>
        <v>Spracované</v>
      </c>
      <c r="G228" s="8" t="s">
        <v>140</v>
      </c>
      <c r="H228" s="10" t="s">
        <v>11</v>
      </c>
      <c r="I228" s="9" t="s">
        <v>61</v>
      </c>
      <c r="J228" s="10" t="s">
        <v>34</v>
      </c>
      <c r="K228" s="38">
        <v>100</v>
      </c>
    </row>
    <row r="229" spans="1:11" x14ac:dyDescent="0.25">
      <c r="A229" s="6" t="s">
        <v>513</v>
      </c>
      <c r="B229" s="36" t="s">
        <v>514</v>
      </c>
      <c r="C229" s="7" t="str">
        <f>HYPERLINK("https://data.sopsr.sk/chranene-objekty/chranene-uzemia/detail/SKUEV0248","Močidlianska skala")</f>
        <v>Močidlianska skala</v>
      </c>
      <c r="D229" s="33">
        <v>199.26910000000001</v>
      </c>
      <c r="E229" s="44" t="str">
        <f>HYPERLINK("https://natura2000.sopsr.sk/lokality/uev/lokality-uev/?uev=SKUEV0248","Odkaz")</f>
        <v>Odkaz</v>
      </c>
      <c r="F229" s="44" t="str">
        <f>HYPERLINK("https://natura2000.sopsr.sk/wp-content/uploads/natura/legislativa/uev/ciele/SKUEV0248.docx","Spracované")</f>
        <v>Spracované</v>
      </c>
      <c r="G229" s="10" t="s">
        <v>10</v>
      </c>
      <c r="H229" s="10" t="s">
        <v>11</v>
      </c>
      <c r="I229" s="9" t="s">
        <v>61</v>
      </c>
      <c r="J229" s="10" t="s">
        <v>34</v>
      </c>
      <c r="K229" s="38">
        <v>100</v>
      </c>
    </row>
    <row r="230" spans="1:11" x14ac:dyDescent="0.25">
      <c r="A230" s="6" t="s">
        <v>515</v>
      </c>
      <c r="B230" s="36" t="s">
        <v>516</v>
      </c>
      <c r="C230" s="7" t="str">
        <f>HYPERLINK("https://data.sopsr.sk/chranene-objekty/chranene-uzemia/detail/SKUEV0249","Hrbatá lúčka")</f>
        <v>Hrbatá lúčka</v>
      </c>
      <c r="D230" s="33">
        <v>180.31129999999999</v>
      </c>
      <c r="E230" s="44" t="str">
        <f>HYPERLINK("https://natura2000.sopsr.sk/lokality/uev/lokality-uev/?uev=SKUEV0249","Odkaz")</f>
        <v>Odkaz</v>
      </c>
      <c r="F230" s="44" t="str">
        <f>HYPERLINK("https://natura2000.sopsr.sk/wp-content/uploads/natura/legislativa/uev/ciele/SKUEV0249.docx","Spracované")</f>
        <v>Spracované</v>
      </c>
      <c r="G230" s="10" t="s">
        <v>10</v>
      </c>
      <c r="H230" s="10" t="s">
        <v>11</v>
      </c>
      <c r="I230" s="9" t="s">
        <v>61</v>
      </c>
      <c r="J230" s="10" t="s">
        <v>34</v>
      </c>
      <c r="K230" s="38">
        <v>100</v>
      </c>
    </row>
    <row r="231" spans="1:11" x14ac:dyDescent="0.25">
      <c r="A231" s="6" t="s">
        <v>517</v>
      </c>
      <c r="B231" s="36" t="s">
        <v>518</v>
      </c>
      <c r="C231" s="7" t="str">
        <f>HYPERLINK("https://data.sopsr.sk/chranene-objekty/chranene-uzemia/detail/SKUEV0250","Krivoštianka")</f>
        <v>Krivoštianka</v>
      </c>
      <c r="D231" s="33">
        <v>707.9434</v>
      </c>
      <c r="E231" s="44" t="str">
        <f>HYPERLINK("https://natura2000.sopsr.sk/lokality/uev/lokality-uev/?uev=SKUEV0250","Odkaz")</f>
        <v>Odkaz</v>
      </c>
      <c r="F231" s="44" t="str">
        <f>HYPERLINK("https://natura2000.sopsr.sk/wp-content/uploads/natura/legislativa/uev/ciele/SKUEV0250.docx","Spracované")</f>
        <v>Spracované</v>
      </c>
      <c r="G231" s="10" t="s">
        <v>10</v>
      </c>
      <c r="H231" s="9" t="s">
        <v>11</v>
      </c>
      <c r="I231" s="9" t="s">
        <v>55</v>
      </c>
      <c r="J231" s="10" t="s">
        <v>27</v>
      </c>
      <c r="K231" s="38">
        <v>3</v>
      </c>
    </row>
    <row r="232" spans="1:11" x14ac:dyDescent="0.25">
      <c r="A232" s="6" t="s">
        <v>519</v>
      </c>
      <c r="B232" s="36" t="s">
        <v>520</v>
      </c>
      <c r="C232" s="7" t="str">
        <f>HYPERLINK("https://data.sopsr.sk/chranene-objekty/chranene-uzemia/detail/SKUEV0251","Zázrivské lazy")</f>
        <v>Zázrivské lazy</v>
      </c>
      <c r="D232" s="33">
        <v>2862.5097999999998</v>
      </c>
      <c r="E232" s="44" t="str">
        <f>HYPERLINK("https://natura2000.sopsr.sk/lokality/uev/lokality-uev/?uev=SKUEV0251","Odkaz")</f>
        <v>Odkaz</v>
      </c>
      <c r="F232" s="44" t="str">
        <f>HYPERLINK("https://natura2000.sopsr.sk/wp-content/uploads/natura/legislativa/uev/ciele/SKUEV0251.docx","Spracované")</f>
        <v>Spracované</v>
      </c>
      <c r="G232" s="10" t="s">
        <v>10</v>
      </c>
      <c r="H232" s="10" t="s">
        <v>11</v>
      </c>
      <c r="I232" s="9" t="s">
        <v>127</v>
      </c>
      <c r="J232" s="10" t="s">
        <v>465</v>
      </c>
      <c r="K232" s="38">
        <v>100</v>
      </c>
    </row>
    <row r="233" spans="1:11" x14ac:dyDescent="0.25">
      <c r="A233" s="6" t="s">
        <v>521</v>
      </c>
      <c r="B233" s="36" t="s">
        <v>522</v>
      </c>
      <c r="C233" s="7" t="str">
        <f>HYPERLINK("https://data.sopsr.sk/chranene-objekty/chranene-uzemia/detail/SKUEV0252","Malá Fatra")</f>
        <v>Malá Fatra</v>
      </c>
      <c r="D233" s="33">
        <v>20541.370800000001</v>
      </c>
      <c r="E233" s="44" t="str">
        <f>HYPERLINK("https://natura2000.sopsr.sk/lokality/uev/lokality-uev/?uev=SKUEV0252","Odkaz")</f>
        <v>Odkaz</v>
      </c>
      <c r="F233" s="44" t="str">
        <f>HYPERLINK("https://natura2000.sopsr.sk/wp-content/uploads/natura/legislativa/uev/ciele/SKUEV0252.docx","Spracované")</f>
        <v>Spracované</v>
      </c>
      <c r="G233" s="10" t="s">
        <v>10</v>
      </c>
      <c r="H233" s="10" t="s">
        <v>11</v>
      </c>
      <c r="I233" s="9" t="s">
        <v>127</v>
      </c>
      <c r="J233" s="10" t="s">
        <v>465</v>
      </c>
      <c r="K233" s="38">
        <v>100</v>
      </c>
    </row>
    <row r="234" spans="1:11" x14ac:dyDescent="0.25">
      <c r="A234" s="6" t="s">
        <v>523</v>
      </c>
      <c r="B234" s="36" t="s">
        <v>524</v>
      </c>
      <c r="C234" s="7" t="str">
        <f>HYPERLINK("https://data.sopsr.sk/chranene-objekty/chranene-uzemia/detail/SKUEV0253","Váh")</f>
        <v>Váh</v>
      </c>
      <c r="D234" s="33">
        <v>290.69099999999997</v>
      </c>
      <c r="E234" s="44" t="str">
        <f>HYPERLINK("https://natura2000.sopsr.sk/lokality/uev/lokality-uev/?uev=SKUEV0253","Odkaz")</f>
        <v>Odkaz</v>
      </c>
      <c r="F234" s="44" t="str">
        <f>HYPERLINK("https://natura2000.sopsr.sk/wp-content/uploads/natura/legislativa/uev/ciele/SKUEV0253.docx","Spracované")</f>
        <v>Spracované</v>
      </c>
      <c r="G234" s="10" t="s">
        <v>10</v>
      </c>
      <c r="H234" s="10" t="s">
        <v>11</v>
      </c>
      <c r="I234" s="9" t="s">
        <v>127</v>
      </c>
      <c r="J234" s="10" t="s">
        <v>299</v>
      </c>
      <c r="K234" s="38">
        <v>0</v>
      </c>
    </row>
    <row r="235" spans="1:11" x14ac:dyDescent="0.25">
      <c r="A235" s="6" t="s">
        <v>525</v>
      </c>
      <c r="B235" s="36" t="s">
        <v>526</v>
      </c>
      <c r="C235" s="7" t="str">
        <f>HYPERLINK("https://data.sopsr.sk/chranene-objekty/chranene-uzemia/detail/SKUEV0254","Močiar")</f>
        <v>Močiar</v>
      </c>
      <c r="D235" s="33">
        <v>7.7390999999999996</v>
      </c>
      <c r="E235" s="44" t="str">
        <f>HYPERLINK("https://natura2000.sopsr.sk/lokality/uev/lokality-uev/?uev=SKUEV0254","Odkaz")</f>
        <v>Odkaz</v>
      </c>
      <c r="F235" s="44" t="str">
        <f>HYPERLINK("https://natura2000.sopsr.sk/wp-content/uploads/natura/legislativa/uev/ciele/SKUEV0254.docx","Spracované")</f>
        <v>Spracované</v>
      </c>
      <c r="G235" s="10" t="s">
        <v>10</v>
      </c>
      <c r="H235" s="10" t="s">
        <v>11</v>
      </c>
      <c r="I235" s="9" t="s">
        <v>127</v>
      </c>
      <c r="J235" s="10" t="s">
        <v>465</v>
      </c>
      <c r="K235" s="38">
        <v>100</v>
      </c>
    </row>
    <row r="236" spans="1:11" x14ac:dyDescent="0.25">
      <c r="A236" s="6" t="s">
        <v>527</v>
      </c>
      <c r="B236" s="36" t="s">
        <v>528</v>
      </c>
      <c r="C236" s="7" t="str">
        <f>HYPERLINK("https://data.sopsr.sk/chranene-objekty/chranene-uzemia/detail/SKUEV0255","Šujské rašelinisko")</f>
        <v>Šujské rašelinisko</v>
      </c>
      <c r="D236" s="33">
        <v>13.0291</v>
      </c>
      <c r="E236" s="44" t="str">
        <f>HYPERLINK("https://natura2000.sopsr.sk/lokality/uev/lokality-uev/?uev=SKUEV0255","Odkaz")</f>
        <v>Odkaz</v>
      </c>
      <c r="F236" s="44" t="str">
        <f>HYPERLINK("https://natura2000.sopsr.sk/wp-content/uploads/natura/legislativa/uev/ciele/SKUEV0255.docx","Spracované")</f>
        <v>Spracované</v>
      </c>
      <c r="G236" s="15" t="s">
        <v>10</v>
      </c>
      <c r="H236" s="10" t="s">
        <v>11</v>
      </c>
      <c r="I236" s="9" t="s">
        <v>127</v>
      </c>
      <c r="J236" s="10" t="s">
        <v>465</v>
      </c>
      <c r="K236" s="38">
        <v>100</v>
      </c>
    </row>
    <row r="237" spans="1:11" ht="27" customHeight="1" x14ac:dyDescent="0.25">
      <c r="A237" s="6" t="s">
        <v>529</v>
      </c>
      <c r="B237" s="36" t="s">
        <v>530</v>
      </c>
      <c r="C237" s="7" t="str">
        <f>HYPERLINK("https://data.sopsr.sk/chranene-objekty/chranene-uzemia/detail/SKUEV0256","Strážovské vrchy")</f>
        <v>Strážovské vrchy</v>
      </c>
      <c r="D237" s="33">
        <v>30279.484799999998</v>
      </c>
      <c r="E237" s="44" t="str">
        <f>HYPERLINK("https://natura2000.sopsr.sk/lokality/uev/lokality-uev/?uev=SKUEV0256","Odkaz")</f>
        <v>Odkaz</v>
      </c>
      <c r="F237" s="44" t="str">
        <f>HYPERLINK("https://natura2000.sopsr.sk/wp-content/uploads/natura/legislativa/uev/ciele/SKUEV0256.docx","Spracované")</f>
        <v>Spracované</v>
      </c>
      <c r="G237" s="17" t="s">
        <v>10</v>
      </c>
      <c r="H237" s="9" t="s">
        <v>11</v>
      </c>
      <c r="I237" s="9" t="s">
        <v>531</v>
      </c>
      <c r="J237" s="10" t="s">
        <v>532</v>
      </c>
      <c r="K237" s="38">
        <v>90</v>
      </c>
    </row>
    <row r="238" spans="1:11" ht="19.5" customHeight="1" x14ac:dyDescent="0.25">
      <c r="A238" s="6" t="s">
        <v>533</v>
      </c>
      <c r="B238" s="36" t="s">
        <v>534</v>
      </c>
      <c r="C238" s="7" t="str">
        <f>HYPERLINK("https://data.sopsr.sk/chranene-objekty/chranene-uzemia/detail/SKUEV0257","Alúvium Ipľa")</f>
        <v>Alúvium Ipľa</v>
      </c>
      <c r="D238" s="33">
        <v>286.4135</v>
      </c>
      <c r="E238" s="44" t="str">
        <f>HYPERLINK("https://natura2000.sopsr.sk/lokality/uev/lokality-uev/?uev=SKUEV0257","Odkaz")</f>
        <v>Odkaz</v>
      </c>
      <c r="F238" s="44" t="str">
        <f>HYPERLINK("https://natura2000.sopsr.sk/wp-content/uploads/natura/legislativa/uev/ciele/SKUEV0257.docx","Spracované")</f>
        <v>Spracované</v>
      </c>
      <c r="G238" s="10"/>
      <c r="H238" s="9" t="s">
        <v>20</v>
      </c>
      <c r="I238" s="10" t="s">
        <v>535</v>
      </c>
      <c r="J238" s="10" t="s">
        <v>52</v>
      </c>
      <c r="K238" s="38">
        <v>25</v>
      </c>
    </row>
    <row r="239" spans="1:11" ht="18.75" customHeight="1" x14ac:dyDescent="0.25">
      <c r="A239" s="6" t="s">
        <v>536</v>
      </c>
      <c r="B239" s="36" t="s">
        <v>537</v>
      </c>
      <c r="C239" s="7" t="str">
        <f>HYPERLINK("https://data.sopsr.sk/chranene-objekty/chranene-uzemia/detail/SKUEV0258","Tlstý vrch")</f>
        <v>Tlstý vrch</v>
      </c>
      <c r="D239" s="33">
        <v>1219.1432</v>
      </c>
      <c r="E239" s="44" t="str">
        <f>HYPERLINK("https://natura2000.sopsr.sk/lokality/uev/lokality-uev/?uev=SKUEV0258","Odkaz")</f>
        <v>Odkaz</v>
      </c>
      <c r="F239" s="44" t="str">
        <f>HYPERLINK("https://natura2000.sopsr.sk/wp-content/uploads/natura/legislativa/uev/ciele/SKUEV0258.docx","Spracované")</f>
        <v>Spracované</v>
      </c>
      <c r="G239" s="10"/>
      <c r="H239" s="10" t="s">
        <v>11</v>
      </c>
      <c r="I239" s="10" t="s">
        <v>535</v>
      </c>
      <c r="J239" s="10" t="s">
        <v>52</v>
      </c>
      <c r="K239" s="38">
        <v>100</v>
      </c>
    </row>
    <row r="240" spans="1:11" x14ac:dyDescent="0.25">
      <c r="A240" s="6" t="s">
        <v>538</v>
      </c>
      <c r="B240" s="36" t="s">
        <v>539</v>
      </c>
      <c r="C240" s="7" t="str">
        <f>HYPERLINK("https://data.sopsr.sk/chranene-objekty/chranene-uzemia/detail/SKUEV0259","Stará hora")</f>
        <v>Stará hora</v>
      </c>
      <c r="D240" s="33">
        <v>2420.9189000000001</v>
      </c>
      <c r="E240" s="44" t="str">
        <f>HYPERLINK("https://natura2000.sopsr.sk/lokality/uev/lokality-uev/?uev=SKUEV0259","Odkaz")</f>
        <v>Odkaz</v>
      </c>
      <c r="F240" s="44" t="str">
        <f>HYPERLINK("https://natura2000.sopsr.sk/wp-content/uploads/natura/legislativa/uev/ciele/SKUEV0259.docx","Spracované")</f>
        <v>Spracované</v>
      </c>
      <c r="G240" s="10" t="s">
        <v>10</v>
      </c>
      <c r="H240" s="10" t="s">
        <v>11</v>
      </c>
      <c r="I240" s="9" t="s">
        <v>61</v>
      </c>
      <c r="J240" s="10" t="s">
        <v>52</v>
      </c>
      <c r="K240" s="38">
        <v>100</v>
      </c>
    </row>
    <row r="241" spans="1:11" x14ac:dyDescent="0.25">
      <c r="A241" s="6" t="s">
        <v>540</v>
      </c>
      <c r="B241" s="36" t="s">
        <v>541</v>
      </c>
      <c r="C241" s="7" t="str">
        <f>HYPERLINK("https://data.sopsr.sk/chranene-objekty/chranene-uzemia/detail/SKUEV0260","Mäsiarsky bok")</f>
        <v>Mäsiarsky bok</v>
      </c>
      <c r="D241" s="33">
        <v>291.74470000000002</v>
      </c>
      <c r="E241" s="44" t="str">
        <f>HYPERLINK("https://natura2000.sopsr.sk/lokality/uev/lokality-uev/?uev=SKUEV0260","Odkaz")</f>
        <v>Odkaz</v>
      </c>
      <c r="F241" s="44" t="str">
        <f>HYPERLINK("https://natura2000.sopsr.sk/wp-content/uploads/natura/legislativa/uev/ciele/SKUEV0260.docx","Spracované")</f>
        <v>Spracované</v>
      </c>
      <c r="G241" s="10" t="s">
        <v>10</v>
      </c>
      <c r="H241" s="10" t="s">
        <v>11</v>
      </c>
      <c r="I241" s="9" t="s">
        <v>61</v>
      </c>
      <c r="J241" s="10" t="s">
        <v>52</v>
      </c>
      <c r="K241" s="38">
        <v>44</v>
      </c>
    </row>
    <row r="242" spans="1:11" x14ac:dyDescent="0.25">
      <c r="A242" s="6" t="s">
        <v>542</v>
      </c>
      <c r="B242" s="36" t="s">
        <v>543</v>
      </c>
      <c r="C242" s="7" t="str">
        <f>HYPERLINK("https://data.sopsr.sk/chranene-objekty/chranene-uzemia/detail/SKUEV0261","Dedinská hora")</f>
        <v>Dedinská hora</v>
      </c>
      <c r="D242" s="33">
        <v>133.63290000000001</v>
      </c>
      <c r="E242" s="44" t="str">
        <f>HYPERLINK("https://natura2000.sopsr.sk/lokality/uev/lokality-uev/?uev=SKUEV0261","Odkaz")</f>
        <v>Odkaz</v>
      </c>
      <c r="F242" s="44" t="str">
        <f>HYPERLINK("https://natura2000.sopsr.sk/wp-content/uploads/natura/legislativa/uev/ciele/SKUEV0261.docx","Spracované")</f>
        <v>Spracované</v>
      </c>
      <c r="G242" s="10" t="s">
        <v>10</v>
      </c>
      <c r="H242" s="9" t="s">
        <v>20</v>
      </c>
      <c r="I242" s="9" t="s">
        <v>61</v>
      </c>
      <c r="J242" s="10" t="s">
        <v>52</v>
      </c>
      <c r="K242" s="38">
        <v>9</v>
      </c>
    </row>
    <row r="243" spans="1:11" x14ac:dyDescent="0.25">
      <c r="A243" s="6" t="s">
        <v>544</v>
      </c>
      <c r="B243" s="36" t="s">
        <v>545</v>
      </c>
      <c r="C243" s="7" t="str">
        <f>HYPERLINK("https://data.sopsr.sk/chranene-objekty/chranene-uzemia/detail/SKUEV0262","Čajkovské bralie")</f>
        <v>Čajkovské bralie</v>
      </c>
      <c r="D243" s="33">
        <v>1713.915</v>
      </c>
      <c r="E243" s="44" t="str">
        <f>HYPERLINK("https://natura2000.sopsr.sk/lokality/uev/lokality-uev/?uev=SKUEV0262","Odkaz")</f>
        <v>Odkaz</v>
      </c>
      <c r="F243" s="44" t="str">
        <f>HYPERLINK("https://natura2000.sopsr.sk/wp-content/uploads/natura/legislativa/uev/ciele/SKUEV0262.docx","Spracované")</f>
        <v>Spracované</v>
      </c>
      <c r="G243" s="10" t="s">
        <v>10</v>
      </c>
      <c r="H243" s="10" t="s">
        <v>11</v>
      </c>
      <c r="I243" s="9" t="s">
        <v>58</v>
      </c>
      <c r="J243" s="10" t="s">
        <v>52</v>
      </c>
      <c r="K243" s="38">
        <v>100</v>
      </c>
    </row>
    <row r="244" spans="1:11" ht="21" customHeight="1" x14ac:dyDescent="0.25">
      <c r="A244" s="6" t="s">
        <v>546</v>
      </c>
      <c r="B244" s="36" t="s">
        <v>547</v>
      </c>
      <c r="C244" s="7" t="str">
        <f>HYPERLINK("https://data.sopsr.sk/chranene-objekty/chranene-uzemia/detail/SKUEV0263","Hodrušská hornatina")</f>
        <v>Hodrušská hornatina</v>
      </c>
      <c r="D244" s="33">
        <v>10309.733399999999</v>
      </c>
      <c r="E244" s="44" t="str">
        <f>HYPERLINK("https://natura2000.sopsr.sk/lokality/uev/lokality-uev/?uev=SKUEV0263","Odkaz")</f>
        <v>Odkaz</v>
      </c>
      <c r="F244" s="44" t="str">
        <f>HYPERLINK("https://natura2000.sopsr.sk/wp-content/uploads/natura/legislativa/uev/ciele/SKUEV0263.docx","Spracované")</f>
        <v>Spracované</v>
      </c>
      <c r="G244" s="10" t="s">
        <v>10</v>
      </c>
      <c r="H244" s="10" t="s">
        <v>11</v>
      </c>
      <c r="I244" s="10" t="s">
        <v>535</v>
      </c>
      <c r="J244" s="10" t="s">
        <v>52</v>
      </c>
      <c r="K244" s="38">
        <v>100</v>
      </c>
    </row>
    <row r="245" spans="1:11" x14ac:dyDescent="0.25">
      <c r="A245" s="6" t="s">
        <v>548</v>
      </c>
      <c r="B245" s="36" t="s">
        <v>549</v>
      </c>
      <c r="C245" s="7" t="str">
        <f>HYPERLINK("https://data.sopsr.sk/chranene-objekty/chranene-uzemia/detail/SKUEV0264","Klokoč")</f>
        <v>Klokoč</v>
      </c>
      <c r="D245" s="33">
        <v>2307.7240000000002</v>
      </c>
      <c r="E245" s="44" t="str">
        <f>HYPERLINK("https://natura2000.sopsr.sk/lokality/uev/lokality-uev/?uev=SKUEV0264","Odkaz")</f>
        <v>Odkaz</v>
      </c>
      <c r="F245" s="44" t="str">
        <f>HYPERLINK("https://natura2000.sopsr.sk/wp-content/uploads/natura/legislativa/uev/ciele/SKUEV0264.docx","Spracované")</f>
        <v>Spracované</v>
      </c>
      <c r="G245" s="10" t="s">
        <v>10</v>
      </c>
      <c r="H245" s="10" t="s">
        <v>11</v>
      </c>
      <c r="I245" s="9" t="s">
        <v>61</v>
      </c>
      <c r="J245" s="10" t="s">
        <v>52</v>
      </c>
      <c r="K245" s="38">
        <v>100</v>
      </c>
    </row>
    <row r="246" spans="1:11" x14ac:dyDescent="0.25">
      <c r="A246" s="6" t="s">
        <v>550</v>
      </c>
      <c r="B246" s="36" t="s">
        <v>551</v>
      </c>
      <c r="C246" s="7" t="str">
        <f>HYPERLINK("https://data.sopsr.sk/chranene-objekty/chranene-uzemia/detail/SKUEV0265","Suť")</f>
        <v>Suť</v>
      </c>
      <c r="D246" s="33">
        <v>9161.2952000000005</v>
      </c>
      <c r="E246" s="44" t="str">
        <f>HYPERLINK("https://natura2000.sopsr.sk/lokality/uev/lokality-uev/?uev=SKUEV0265","Odkaz")</f>
        <v>Odkaz</v>
      </c>
      <c r="F246" s="44" t="str">
        <f>HYPERLINK("https://natura2000.sopsr.sk/wp-content/uploads/natura/legislativa/uev/ciele/SKUEV0265.docx","Spracované")</f>
        <v>Spracované</v>
      </c>
      <c r="G246" s="10" t="s">
        <v>10</v>
      </c>
      <c r="H246" s="10" t="s">
        <v>11</v>
      </c>
      <c r="I246" s="9" t="s">
        <v>61</v>
      </c>
      <c r="J246" s="10" t="s">
        <v>52</v>
      </c>
      <c r="K246" s="38">
        <v>100</v>
      </c>
    </row>
    <row r="247" spans="1:11" x14ac:dyDescent="0.25">
      <c r="A247" s="6" t="s">
        <v>552</v>
      </c>
      <c r="B247" s="36" t="s">
        <v>553</v>
      </c>
      <c r="C247" s="7" t="str">
        <f>HYPERLINK("https://data.sopsr.sk/chranene-objekty/chranene-uzemia/detail/SKUEV0266","Skalka")</f>
        <v>Skalka</v>
      </c>
      <c r="D247" s="33">
        <v>9813.0126999999993</v>
      </c>
      <c r="E247" s="44" t="str">
        <f>HYPERLINK("https://natura2000.sopsr.sk/lokality/uev/lokality-uev/?uev=SKUEV0266","Odkaz")</f>
        <v>Odkaz</v>
      </c>
      <c r="F247" s="44" t="str">
        <f>HYPERLINK("https://natura2000.sopsr.sk/wp-content/uploads/natura/legislativa/uev/ciele/SKUEV0266.docx","Spracované")</f>
        <v>Spracované</v>
      </c>
      <c r="G247" s="10" t="s">
        <v>10</v>
      </c>
      <c r="H247" s="10" t="s">
        <v>11</v>
      </c>
      <c r="I247" s="9" t="s">
        <v>61</v>
      </c>
      <c r="J247" s="10" t="s">
        <v>52</v>
      </c>
      <c r="K247" s="38">
        <v>100</v>
      </c>
    </row>
    <row r="248" spans="1:11" x14ac:dyDescent="0.25">
      <c r="A248" s="6" t="s">
        <v>554</v>
      </c>
      <c r="B248" s="36" t="s">
        <v>555</v>
      </c>
      <c r="C248" s="7" t="str">
        <f>HYPERLINK("https://data.sopsr.sk/chranene-objekty/chranene-uzemia/detail/SKUEV0267","Biele hory")</f>
        <v>Biele hory</v>
      </c>
      <c r="D248" s="33">
        <v>10236.559300000001</v>
      </c>
      <c r="E248" s="44" t="str">
        <f>HYPERLINK("https://natura2000.sopsr.sk/lokality/uev/lokality-uev/?uev=SKUEV0267","Odkaz")</f>
        <v>Odkaz</v>
      </c>
      <c r="F248" s="44" t="str">
        <f>HYPERLINK("https://natura2000.sopsr.sk/wp-content/uploads/natura/legislativa/uev/ciele/SKUEV0267.docx","Spracované")</f>
        <v>Spracované</v>
      </c>
      <c r="G248" s="10" t="s">
        <v>10</v>
      </c>
      <c r="H248" s="10" t="s">
        <v>11</v>
      </c>
      <c r="I248" s="10" t="s">
        <v>357</v>
      </c>
      <c r="J248" s="10" t="s">
        <v>225</v>
      </c>
      <c r="K248" s="38">
        <v>100</v>
      </c>
    </row>
    <row r="249" spans="1:11" x14ac:dyDescent="0.25">
      <c r="A249" s="6" t="s">
        <v>556</v>
      </c>
      <c r="B249" s="36" t="s">
        <v>557</v>
      </c>
      <c r="C249" s="7" t="str">
        <f>HYPERLINK("https://data.sopsr.sk/chranene-objekty/chranene-uzemia/detail/SKUEV0268","Buková")</f>
        <v>Buková</v>
      </c>
      <c r="D249" s="33">
        <v>9.6959999999999997</v>
      </c>
      <c r="E249" s="44" t="str">
        <f>HYPERLINK("https://natura2000.sopsr.sk/lokality/uev/lokality-uev/?uev=SKUEV0268","Odkaz")</f>
        <v>Odkaz</v>
      </c>
      <c r="F249" s="44" t="str">
        <f>HYPERLINK("https://natura2000.sopsr.sk/wp-content/uploads/natura/legislativa/uev/ciele/SKUEV0268.docx","Spracované")</f>
        <v>Spracované</v>
      </c>
      <c r="G249" s="8" t="s">
        <v>23</v>
      </c>
      <c r="H249" s="10" t="s">
        <v>11</v>
      </c>
      <c r="I249" s="9" t="s">
        <v>167</v>
      </c>
      <c r="J249" s="10" t="s">
        <v>225</v>
      </c>
      <c r="K249" s="38">
        <v>100</v>
      </c>
    </row>
    <row r="250" spans="1:11" x14ac:dyDescent="0.25">
      <c r="A250" s="6" t="s">
        <v>558</v>
      </c>
      <c r="B250" s="36" t="s">
        <v>559</v>
      </c>
      <c r="C250" s="7" t="str">
        <f>HYPERLINK("https://data.sopsr.sk/chranene-objekty/chranene-uzemia/detail/SKUEV0269","Ostrovné lúčky")</f>
        <v>Ostrovné lúčky</v>
      </c>
      <c r="D250" s="33">
        <v>674.07579999999996</v>
      </c>
      <c r="E250" s="44" t="str">
        <f>HYPERLINK("https://natura2000.sopsr.sk/lokality/uev/lokality-uev/?uev=SKUEV0269","Odkaz")</f>
        <v>Odkaz</v>
      </c>
      <c r="F250" s="44" t="str">
        <f>HYPERLINK("https://natura2000.sopsr.sk/wp-content/uploads/natura/legislativa/uev/ciele/SKUEV0269.docx","Spracované")</f>
        <v>Spracované</v>
      </c>
      <c r="G250" s="8" t="s">
        <v>23</v>
      </c>
      <c r="H250" s="9" t="s">
        <v>20</v>
      </c>
      <c r="I250" s="10" t="s">
        <v>146</v>
      </c>
      <c r="J250" s="10" t="s">
        <v>40</v>
      </c>
      <c r="K250" s="38">
        <v>100</v>
      </c>
    </row>
    <row r="251" spans="1:11" x14ac:dyDescent="0.25">
      <c r="A251" s="6" t="s">
        <v>560</v>
      </c>
      <c r="B251" s="36" t="s">
        <v>561</v>
      </c>
      <c r="C251" s="7" t="str">
        <f>HYPERLINK("https://data.sopsr.sk/chranene-objekty/chranene-uzemia/detail/SKUEV0270","Hrušov")</f>
        <v>Hrušov</v>
      </c>
      <c r="D251" s="33">
        <v>489.4126</v>
      </c>
      <c r="E251" s="44" t="str">
        <f>HYPERLINK("https://natura2000.sopsr.sk/lokality/uev/lokality-uev/?uev=SKUEV0270","Odkaz")</f>
        <v>Odkaz</v>
      </c>
      <c r="F251" s="44" t="str">
        <f>HYPERLINK("https://natura2000.sopsr.sk/wp-content/uploads/natura/legislativa/uev/ciele/SKUEV0270.docx","Spracované")</f>
        <v>Spracované</v>
      </c>
      <c r="G251" s="10" t="s">
        <v>10</v>
      </c>
      <c r="H251" s="9" t="s">
        <v>20</v>
      </c>
      <c r="I251" s="10" t="s">
        <v>146</v>
      </c>
      <c r="J251" s="10" t="s">
        <v>40</v>
      </c>
      <c r="K251" s="38">
        <v>61</v>
      </c>
    </row>
    <row r="252" spans="1:11" x14ac:dyDescent="0.25">
      <c r="A252" s="6" t="s">
        <v>562</v>
      </c>
      <c r="B252" s="36" t="s">
        <v>563</v>
      </c>
      <c r="C252" s="7" t="str">
        <f>HYPERLINK("https://data.sopsr.sk/chranene-objekty/chranene-uzemia/detail/SKUEV0271","Šándorky")</f>
        <v>Šándorky</v>
      </c>
      <c r="D252" s="33">
        <v>3.1101999999999999</v>
      </c>
      <c r="E252" s="44" t="str">
        <f>HYPERLINK("https://natura2000.sopsr.sk/lokality/uev/lokality-uev/?uev=SKUEV0271","Odkaz")</f>
        <v>Odkaz</v>
      </c>
      <c r="F252" s="44" t="str">
        <f>HYPERLINK("https://natura2000.sopsr.sk/wp-content/uploads/natura/legislativa/uev/ciele/SKUEV0271.docx","Spracované")</f>
        <v>Spracované</v>
      </c>
      <c r="G252" s="8" t="s">
        <v>23</v>
      </c>
      <c r="H252" s="10" t="s">
        <v>11</v>
      </c>
      <c r="I252" s="9" t="s">
        <v>58</v>
      </c>
      <c r="J252" s="10" t="s">
        <v>47</v>
      </c>
      <c r="K252" s="38">
        <v>100</v>
      </c>
    </row>
    <row r="253" spans="1:11" x14ac:dyDescent="0.25">
      <c r="A253" s="6" t="s">
        <v>564</v>
      </c>
      <c r="B253" s="36" t="s">
        <v>565</v>
      </c>
      <c r="C253" s="7" t="str">
        <f>HYPERLINK("https://data.sopsr.sk/chranene-objekty/chranene-uzemia/detail/SKUEV0272","Vozokánsky luh")</f>
        <v>Vozokánsky luh</v>
      </c>
      <c r="D253" s="33">
        <v>15.9244</v>
      </c>
      <c r="E253" s="44" t="str">
        <f>HYPERLINK("https://natura2000.sopsr.sk/lokality/uev/lokality-uev/?uev=SKUEV0272","Odkaz")</f>
        <v>Odkaz</v>
      </c>
      <c r="F253" s="44" t="str">
        <f>HYPERLINK("https://natura2000.sopsr.sk/wp-content/uploads/natura/legislativa/uev/ciele/SKUEV0272.docx","Spracované")</f>
        <v>Spracované</v>
      </c>
      <c r="G253" s="10" t="s">
        <v>10</v>
      </c>
      <c r="H253" s="9" t="s">
        <v>20</v>
      </c>
      <c r="I253" s="9" t="s">
        <v>58</v>
      </c>
      <c r="J253" s="10" t="s">
        <v>47</v>
      </c>
      <c r="K253" s="38">
        <v>88</v>
      </c>
    </row>
    <row r="254" spans="1:11" ht="19.5" customHeight="1" x14ac:dyDescent="0.25">
      <c r="A254" s="6" t="s">
        <v>566</v>
      </c>
      <c r="B254" s="36" t="s">
        <v>567</v>
      </c>
      <c r="C254" s="7" t="str">
        <f>HYPERLINK("https://data.sopsr.sk/chranene-objekty/chranene-uzemia/detail/SKUEV0273","Vtáčnik")</f>
        <v>Vtáčnik</v>
      </c>
      <c r="D254" s="33">
        <v>10065.216899999999</v>
      </c>
      <c r="E254" s="44" t="str">
        <f>HYPERLINK("https://natura2000.sopsr.sk/lokality/uev/lokality-uev/?uev=SKUEV0273","Odkaz")</f>
        <v>Odkaz</v>
      </c>
      <c r="F254" s="44" t="str">
        <f>HYPERLINK("https://natura2000.sopsr.sk/wp-content/uploads/natura/legislativa/uev/ciele/SKUEV0273.docx","Spracované")</f>
        <v>Spracované</v>
      </c>
      <c r="G254" s="10" t="s">
        <v>10</v>
      </c>
      <c r="H254" s="10" t="s">
        <v>11</v>
      </c>
      <c r="I254" s="10" t="s">
        <v>568</v>
      </c>
      <c r="J254" s="10" t="s">
        <v>47</v>
      </c>
      <c r="K254" s="38">
        <v>99.41</v>
      </c>
    </row>
    <row r="255" spans="1:11" x14ac:dyDescent="0.25">
      <c r="A255" s="6" t="s">
        <v>569</v>
      </c>
      <c r="B255" s="36" t="s">
        <v>570</v>
      </c>
      <c r="C255" s="7" t="str">
        <f>HYPERLINK("https://data.sopsr.sk/chranene-objekty/chranene-uzemia/detail/SKUEV0274","Baské")</f>
        <v>Baské</v>
      </c>
      <c r="D255" s="33">
        <v>4036.5504999999998</v>
      </c>
      <c r="E255" s="44" t="str">
        <f>HYPERLINK("https://natura2000.sopsr.sk/lokality/uev/lokality-uev/?uev=SKUEV0274","Odkaz")</f>
        <v>Odkaz</v>
      </c>
      <c r="F255" s="44" t="str">
        <f>HYPERLINK("https://natura2000.sopsr.sk/wp-content/uploads/natura/legislativa/uev/ciele/SKUEV0274.docx","Spracované")</f>
        <v>Spracované</v>
      </c>
      <c r="G255" s="10" t="s">
        <v>10</v>
      </c>
      <c r="H255" s="10" t="s">
        <v>11</v>
      </c>
      <c r="I255" s="9" t="s">
        <v>222</v>
      </c>
      <c r="J255" s="10" t="s">
        <v>47</v>
      </c>
      <c r="K255" s="38">
        <v>6.44</v>
      </c>
    </row>
    <row r="256" spans="1:11" x14ac:dyDescent="0.25">
      <c r="A256" s="6" t="s">
        <v>571</v>
      </c>
      <c r="B256" s="36" t="s">
        <v>572</v>
      </c>
      <c r="C256" s="7" t="str">
        <f>HYPERLINK("https://data.sopsr.sk/chranene-objekty/chranene-uzemia/detail/SKUEV0275","Kňaží stôl")</f>
        <v>Kňaží stôl</v>
      </c>
      <c r="D256" s="33">
        <v>4251.0798999999997</v>
      </c>
      <c r="E256" s="44" t="str">
        <f>HYPERLINK("https://natura2000.sopsr.sk/lokality/uev/lokality-uev/?uev=SKUEV0275","Odkaz")</f>
        <v>Odkaz</v>
      </c>
      <c r="F256" s="44" t="str">
        <f>HYPERLINK("https://natura2000.sopsr.sk/wp-content/uploads/natura/legislativa/uev/ciele/SKUEV0275.docx","Spracované")</f>
        <v>Spracované</v>
      </c>
      <c r="G256" s="10" t="s">
        <v>10</v>
      </c>
      <c r="H256" s="10" t="s">
        <v>11</v>
      </c>
      <c r="I256" s="9" t="s">
        <v>222</v>
      </c>
      <c r="J256" s="10" t="s">
        <v>47</v>
      </c>
      <c r="K256" s="38">
        <v>12.64</v>
      </c>
    </row>
    <row r="257" spans="1:11" x14ac:dyDescent="0.25">
      <c r="A257" s="6" t="s">
        <v>573</v>
      </c>
      <c r="B257" s="36" t="s">
        <v>574</v>
      </c>
      <c r="C257" s="7" t="str">
        <f>HYPERLINK("https://data.sopsr.sk/chranene-objekty/chranene-uzemia/detail/SKUEV0276","Kuchynská hornatina")</f>
        <v>Kuchynská hornatina</v>
      </c>
      <c r="D257" s="33">
        <v>3286.9317000000001</v>
      </c>
      <c r="E257" s="44" t="str">
        <f>HYPERLINK("https://natura2000.sopsr.sk/lokality/uev/lokality-uev/?uev=SKUEV0276","Odkaz")</f>
        <v>Odkaz</v>
      </c>
      <c r="F257" s="44" t="str">
        <f>HYPERLINK("https://natura2000.sopsr.sk/wp-content/uploads/natura/legislativa/uev/ciele/SKUEV0276.docx","Spracované")</f>
        <v>Spracované</v>
      </c>
      <c r="G257" s="10" t="s">
        <v>10</v>
      </c>
      <c r="H257" s="10" t="s">
        <v>11</v>
      </c>
      <c r="I257" s="10" t="s">
        <v>146</v>
      </c>
      <c r="J257" s="10" t="s">
        <v>225</v>
      </c>
      <c r="K257" s="38">
        <v>100</v>
      </c>
    </row>
    <row r="258" spans="1:11" x14ac:dyDescent="0.25">
      <c r="A258" s="6" t="s">
        <v>575</v>
      </c>
      <c r="B258" s="36" t="s">
        <v>576</v>
      </c>
      <c r="C258" s="7" t="str">
        <f>HYPERLINK("https://data.sopsr.sk/chranene-objekty/chranene-uzemia/detail/SKUEV0277","Nad vinicami")</f>
        <v>Nad vinicami</v>
      </c>
      <c r="D258" s="33">
        <v>0.50060000000000004</v>
      </c>
      <c r="E258" s="44" t="str">
        <f>HYPERLINK("https://natura2000.sopsr.sk/lokality/uev/lokality-uev/?uev=SKUEV0277","Odkaz")</f>
        <v>Odkaz</v>
      </c>
      <c r="F258" s="44" t="str">
        <f>HYPERLINK("https://natura2000.sopsr.sk/wp-content/uploads/natura/legislativa/uev/ciele/SKUEV0277.docx","Spracované")</f>
        <v>Spracované</v>
      </c>
      <c r="G258" s="10" t="s">
        <v>10</v>
      </c>
      <c r="H258" s="10" t="s">
        <v>11</v>
      </c>
      <c r="I258" s="9" t="s">
        <v>167</v>
      </c>
      <c r="J258" s="10" t="s">
        <v>225</v>
      </c>
      <c r="K258" s="38">
        <v>39</v>
      </c>
    </row>
    <row r="259" spans="1:11" x14ac:dyDescent="0.25">
      <c r="A259" s="6" t="s">
        <v>577</v>
      </c>
      <c r="B259" s="36" t="s">
        <v>578</v>
      </c>
      <c r="C259" s="7" t="str">
        <f>HYPERLINK("https://data.sopsr.sk/chranene-objekty/chranene-uzemia/detail/SKUEV0278","Brezovské Karpaty")</f>
        <v>Brezovské Karpaty</v>
      </c>
      <c r="D259" s="33">
        <v>3140.4245999999998</v>
      </c>
      <c r="E259" s="44" t="str">
        <f>HYPERLINK("https://natura2000.sopsr.sk/lokality/uev/lokality-uev/?uev=SKUEV0278","Odkaz")</f>
        <v>Odkaz</v>
      </c>
      <c r="F259" s="44" t="str">
        <f>HYPERLINK("https://natura2000.sopsr.sk/wp-content/uploads/natura/legislativa/uev/ciele/SKUEV0278.docx","Spracované")</f>
        <v>Spracované</v>
      </c>
      <c r="G259" s="10" t="s">
        <v>10</v>
      </c>
      <c r="H259" s="9" t="s">
        <v>11</v>
      </c>
      <c r="I259" s="9" t="s">
        <v>579</v>
      </c>
      <c r="J259" s="10" t="s">
        <v>225</v>
      </c>
      <c r="K259" s="38">
        <v>100</v>
      </c>
    </row>
    <row r="260" spans="1:11" x14ac:dyDescent="0.25">
      <c r="A260" s="6" t="s">
        <v>580</v>
      </c>
      <c r="B260" s="36" t="s">
        <v>581</v>
      </c>
      <c r="C260" s="7" t="str">
        <f>HYPERLINK("https://data.sopsr.sk/chranene-objekty/chranene-uzemia/detail/SKUEV0279","Šúr")</f>
        <v>Šúr</v>
      </c>
      <c r="D260" s="33">
        <v>435.99970000000002</v>
      </c>
      <c r="E260" s="44" t="str">
        <f>HYPERLINK("https://natura2000.sopsr.sk/lokality/uev/lokality-uev/?uev=SKUEV0279","Odkaz")</f>
        <v>Odkaz</v>
      </c>
      <c r="F260" s="44" t="str">
        <f>HYPERLINK("https://natura2000.sopsr.sk/wp-content/uploads/natura/legislativa/uev/ciele/SKUEV0279.docx","Spracované")</f>
        <v>Spracované</v>
      </c>
      <c r="G260" s="10" t="s">
        <v>10</v>
      </c>
      <c r="H260" s="9" t="s">
        <v>20</v>
      </c>
      <c r="I260" s="10" t="s">
        <v>146</v>
      </c>
      <c r="J260" s="10" t="s">
        <v>225</v>
      </c>
      <c r="K260" s="38">
        <v>100</v>
      </c>
    </row>
    <row r="261" spans="1:11" x14ac:dyDescent="0.25">
      <c r="A261" s="6" t="s">
        <v>582</v>
      </c>
      <c r="B261" s="36" t="s">
        <v>583</v>
      </c>
      <c r="C261" s="7" t="str">
        <f>HYPERLINK("https://data.sopsr.sk/chranene-objekty/chranene-uzemia/detail/SKUEV0280","Devínska Kobyla")</f>
        <v>Devínska Kobyla</v>
      </c>
      <c r="D261" s="33">
        <v>649.55769999999995</v>
      </c>
      <c r="E261" s="44" t="str">
        <f>HYPERLINK("https://natura2000.sopsr.sk/lokality/uev/lokality-uev/?uev=SKUEV0280","Odkaz")</f>
        <v>Odkaz</v>
      </c>
      <c r="F261" s="44" t="str">
        <f>HYPERLINK("https://natura2000.sopsr.sk/wp-content/uploads/natura/legislativa/uev/ciele/SKUEV0280.docx","Spracované")</f>
        <v>Spracované</v>
      </c>
      <c r="G261" s="8" t="s">
        <v>140</v>
      </c>
      <c r="H261" s="9" t="s">
        <v>20</v>
      </c>
      <c r="I261" s="10" t="s">
        <v>146</v>
      </c>
      <c r="J261" s="10" t="s">
        <v>225</v>
      </c>
      <c r="K261" s="38">
        <v>100</v>
      </c>
    </row>
    <row r="262" spans="1:11" x14ac:dyDescent="0.25">
      <c r="A262" s="6" t="s">
        <v>584</v>
      </c>
      <c r="B262" s="36" t="s">
        <v>585</v>
      </c>
      <c r="C262" s="7" t="str">
        <f>HYPERLINK("https://data.sopsr.sk/chranene-objekty/chranene-uzemia/detail/SKUEV0281","Tŕstie")</f>
        <v>Tŕstie</v>
      </c>
      <c r="D262" s="33">
        <v>29.558700000000002</v>
      </c>
      <c r="E262" s="44" t="str">
        <f>HYPERLINK("https://natura2000.sopsr.sk/lokality/uev/lokality-uev/?uev=SKUEV0281","Odkaz")</f>
        <v>Odkaz</v>
      </c>
      <c r="F262" s="44" t="str">
        <f>HYPERLINK("https://natura2000.sopsr.sk/wp-content/uploads/natura/legislativa/uev/ciele/SKUEV0281.docx","Spracované")</f>
        <v>Spracované</v>
      </c>
      <c r="G262" s="10" t="s">
        <v>10</v>
      </c>
      <c r="H262" s="10" t="s">
        <v>11</v>
      </c>
      <c r="I262" s="9" t="s">
        <v>61</v>
      </c>
      <c r="J262" s="10" t="s">
        <v>13</v>
      </c>
      <c r="K262" s="38">
        <v>100</v>
      </c>
    </row>
    <row r="263" spans="1:11" ht="25.5" customHeight="1" x14ac:dyDescent="0.25">
      <c r="A263" s="6" t="s">
        <v>586</v>
      </c>
      <c r="B263" s="36" t="s">
        <v>587</v>
      </c>
      <c r="C263" s="7" t="str">
        <f>HYPERLINK("https://data.sopsr.sk/chranene-objekty/chranene-uzemia/detail/SKUEV0282","Tisovský kras")</f>
        <v>Tisovský kras</v>
      </c>
      <c r="D263" s="33">
        <v>1471.9002</v>
      </c>
      <c r="E263" s="44" t="str">
        <f>HYPERLINK("https://natura2000.sopsr.sk/lokality/uev/lokality-uev/?uev=SKUEV0282","Odkaz")</f>
        <v>Odkaz</v>
      </c>
      <c r="F263" s="44" t="str">
        <f>HYPERLINK("https://natura2000.sopsr.sk/wp-content/uploads/natura/legislativa/uev/ciele/SKUEV0282.docx","Spracované")</f>
        <v>Spracované</v>
      </c>
      <c r="G263" s="14" t="s">
        <v>23</v>
      </c>
      <c r="H263" s="10" t="s">
        <v>11</v>
      </c>
      <c r="I263" s="9" t="s">
        <v>61</v>
      </c>
      <c r="J263" s="10" t="s">
        <v>13</v>
      </c>
      <c r="K263" s="38">
        <v>100</v>
      </c>
    </row>
    <row r="264" spans="1:11" x14ac:dyDescent="0.25">
      <c r="A264" s="6" t="s">
        <v>588</v>
      </c>
      <c r="B264" s="36" t="s">
        <v>589</v>
      </c>
      <c r="C264" s="7" t="str">
        <f>HYPERLINK("https://data.sopsr.sk/chranene-objekty/chranene-uzemia/detail/SKUEV0283","Lúky pod Besníkom")</f>
        <v>Lúky pod Besníkom</v>
      </c>
      <c r="D264" s="33">
        <v>83.956500000000005</v>
      </c>
      <c r="E264" s="44" t="str">
        <f>HYPERLINK("https://natura2000.sopsr.sk/lokality/uev/lokality-uev/?uev=SKUEV0283","Odkaz")</f>
        <v>Odkaz</v>
      </c>
      <c r="F264" s="44" t="str">
        <f>HYPERLINK("https://natura2000.sopsr.sk/wp-content/uploads/natura/legislativa/uev/ciele/SKUEV0283.docx","Spracované")</f>
        <v>Spracované</v>
      </c>
      <c r="G264" s="10" t="s">
        <v>10</v>
      </c>
      <c r="H264" s="10" t="s">
        <v>11</v>
      </c>
      <c r="I264" s="9" t="s">
        <v>61</v>
      </c>
      <c r="J264" s="16" t="s">
        <v>13</v>
      </c>
      <c r="K264" s="38">
        <v>100</v>
      </c>
    </row>
    <row r="265" spans="1:11" x14ac:dyDescent="0.25">
      <c r="A265" s="6" t="s">
        <v>590</v>
      </c>
      <c r="B265" s="36" t="s">
        <v>591</v>
      </c>
      <c r="C265" s="7" t="str">
        <f>HYPERLINK("https://data.sopsr.sk/chranene-objekty/chranene-uzemia/detail/SKUEV0284","Teplické stráne")</f>
        <v>Teplické stráne</v>
      </c>
      <c r="D265" s="33">
        <v>360.77690000000001</v>
      </c>
      <c r="E265" s="44" t="str">
        <f>HYPERLINK("https://natura2000.sopsr.sk/lokality/uev/lokality-uev/?uev=SKUEV0284","Odkaz")</f>
        <v>Odkaz</v>
      </c>
      <c r="F265" s="44" t="str">
        <f>HYPERLINK("https://natura2000.sopsr.sk/wp-content/uploads/natura/legislativa/uev/ciele/SKUEV0284.docx","Spracované")</f>
        <v>Spracované</v>
      </c>
      <c r="G265" s="10" t="s">
        <v>10</v>
      </c>
      <c r="H265" s="9" t="s">
        <v>11</v>
      </c>
      <c r="I265" s="9" t="s">
        <v>61</v>
      </c>
      <c r="J265" s="16" t="s">
        <v>592</v>
      </c>
      <c r="K265" s="38">
        <v>64</v>
      </c>
    </row>
    <row r="266" spans="1:11" x14ac:dyDescent="0.25">
      <c r="A266" s="6" t="s">
        <v>593</v>
      </c>
      <c r="B266" s="36" t="s">
        <v>594</v>
      </c>
      <c r="C266" s="7" t="str">
        <f>HYPERLINK("https://data.sopsr.sk/chranene-objekty/chranene-uzemia/detail/SKUEV0285","Alúvium Muráňa")</f>
        <v>Alúvium Muráňa</v>
      </c>
      <c r="D266" s="33">
        <v>393.33199999999999</v>
      </c>
      <c r="E266" s="44" t="str">
        <f>HYPERLINK("https://natura2000.sopsr.sk/lokality/uev/lokality-uev/?uev=SKUEV0285","Odkaz")</f>
        <v>Odkaz</v>
      </c>
      <c r="F266" s="44" t="str">
        <f>HYPERLINK("https://natura2000.sopsr.sk/wp-content/uploads/natura/legislativa/uev/ciele/SKUEV0285.docx","Spracované")</f>
        <v>Spracované</v>
      </c>
      <c r="G266" s="10" t="s">
        <v>10</v>
      </c>
      <c r="H266" s="9" t="s">
        <v>91</v>
      </c>
      <c r="I266" s="10" t="s">
        <v>430</v>
      </c>
      <c r="J266" s="16" t="s">
        <v>13</v>
      </c>
      <c r="K266" s="38">
        <v>43</v>
      </c>
    </row>
    <row r="267" spans="1:11" ht="46.5" customHeight="1" x14ac:dyDescent="0.25">
      <c r="A267" s="6" t="s">
        <v>595</v>
      </c>
      <c r="B267" s="36" t="s">
        <v>596</v>
      </c>
      <c r="C267" s="7" t="str">
        <f>HYPERLINK("https://data.sopsr.sk/chranene-objekty/chranene-uzemia/detail/SKUEV0286","Hornádske vápence")</f>
        <v>Hornádske vápence</v>
      </c>
      <c r="D267" s="33">
        <v>28.167899999999999</v>
      </c>
      <c r="E267" s="44" t="str">
        <f>HYPERLINK("https://natura2000.sopsr.sk/lokality/uev/lokality-uev/?uev=SKUEV0286","Odkaz")</f>
        <v>Odkaz</v>
      </c>
      <c r="F267" s="44" t="str">
        <f>HYPERLINK("https://natura2000.sopsr.sk/wp-content/uploads/natura/legislativa/uev/ciele/SKUEV0286.docx","Spracované")</f>
        <v>Spracované</v>
      </c>
      <c r="G267" s="14" t="s">
        <v>597</v>
      </c>
      <c r="H267" s="10" t="s">
        <v>11</v>
      </c>
      <c r="I267" s="10" t="s">
        <v>64</v>
      </c>
      <c r="J267" s="10" t="s">
        <v>231</v>
      </c>
      <c r="K267" s="38">
        <v>73</v>
      </c>
    </row>
    <row r="268" spans="1:11" x14ac:dyDescent="0.25">
      <c r="A268" s="6" t="s">
        <v>598</v>
      </c>
      <c r="B268" s="36" t="s">
        <v>599</v>
      </c>
      <c r="C268" s="7" t="str">
        <f>HYPERLINK("https://data.sopsr.sk/chranene-objekty/chranene-uzemia/detail/SKUEV0287","Galmus")</f>
        <v>Galmus</v>
      </c>
      <c r="D268" s="33">
        <v>3284.7680999999998</v>
      </c>
      <c r="E268" s="44" t="str">
        <f>HYPERLINK("https://natura2000.sopsr.sk/lokality/uev/lokality-uev/?uev=SKUEV0287","Odkaz")</f>
        <v>Odkaz</v>
      </c>
      <c r="F268" s="44" t="str">
        <f>HYPERLINK("https://natura2000.sopsr.sk/wp-content/uploads/natura/legislativa/uev/ciele/SKUEV0287.docx","Spracované")</f>
        <v>Spracované</v>
      </c>
      <c r="G268" s="10" t="s">
        <v>10</v>
      </c>
      <c r="H268" s="10" t="s">
        <v>11</v>
      </c>
      <c r="I268" s="10" t="s">
        <v>64</v>
      </c>
      <c r="J268" s="10" t="s">
        <v>231</v>
      </c>
      <c r="K268" s="38">
        <v>14</v>
      </c>
    </row>
    <row r="269" spans="1:11" ht="27" customHeight="1" x14ac:dyDescent="0.25">
      <c r="A269" s="6" t="s">
        <v>600</v>
      </c>
      <c r="B269" s="36" t="s">
        <v>601</v>
      </c>
      <c r="C269" s="7" t="str">
        <f>HYPERLINK("https://data.sopsr.sk/chranene-objekty/chranene-uzemia/detail/SKUEV0288","Kysucké Beskydy")</f>
        <v>Kysucké Beskydy</v>
      </c>
      <c r="D269" s="33">
        <v>7396.8307999999997</v>
      </c>
      <c r="E269" s="44" t="str">
        <f>HYPERLINK("https://natura2000.sopsr.sk/lokality/uev/lokality-uev/?uev=SKUEV0288","Odkaz")</f>
        <v>Odkaz</v>
      </c>
      <c r="F269" s="44" t="str">
        <f>HYPERLINK("https://natura2000.sopsr.sk/wp-content/uploads/natura/legislativa/uev/ciele/SKUEV0288.docx","Spracované")</f>
        <v>Spracované</v>
      </c>
      <c r="G269" s="10" t="s">
        <v>10</v>
      </c>
      <c r="H269" s="10" t="s">
        <v>11</v>
      </c>
      <c r="I269" s="9" t="s">
        <v>127</v>
      </c>
      <c r="J269" s="10" t="s">
        <v>219</v>
      </c>
      <c r="K269" s="38">
        <v>100</v>
      </c>
    </row>
    <row r="270" spans="1:11" ht="21.75" customHeight="1" x14ac:dyDescent="0.25">
      <c r="A270" s="6" t="s">
        <v>602</v>
      </c>
      <c r="B270" s="36" t="s">
        <v>603</v>
      </c>
      <c r="C270" s="7" t="str">
        <f>HYPERLINK("https://data.sopsr.sk/chranene-objekty/chranene-uzemia/detail/SKUEV0289","Chmúra")</f>
        <v>Chmúra</v>
      </c>
      <c r="D270" s="33">
        <v>0.99560000000000004</v>
      </c>
      <c r="E270" s="44" t="str">
        <f>HYPERLINK("https://natura2000.sopsr.sk/lokality/uev/lokality-uev/?uev=SKUEV0289","Odkaz")</f>
        <v>Odkaz</v>
      </c>
      <c r="F270" s="44" t="str">
        <f>HYPERLINK("https://natura2000.sopsr.sk/wp-content/uploads/natura/legislativa/uev/ciele/SKUEV0289.docx","Spracované")</f>
        <v>Spracované</v>
      </c>
      <c r="G270" s="8" t="s">
        <v>23</v>
      </c>
      <c r="H270" s="10" t="s">
        <v>11</v>
      </c>
      <c r="I270" s="9" t="s">
        <v>127</v>
      </c>
      <c r="J270" s="10" t="s">
        <v>219</v>
      </c>
      <c r="K270" s="38">
        <v>100</v>
      </c>
    </row>
    <row r="271" spans="1:11" x14ac:dyDescent="0.25">
      <c r="A271" s="6" t="s">
        <v>604</v>
      </c>
      <c r="B271" s="36" t="s">
        <v>605</v>
      </c>
      <c r="C271" s="7" t="str">
        <f>HYPERLINK("https://data.sopsr.sk/chranene-objekty/chranene-uzemia/detail/SKUEV0290","Horný tok Hornádu")</f>
        <v>Horný tok Hornádu</v>
      </c>
      <c r="D271" s="33">
        <v>359.21050000000002</v>
      </c>
      <c r="E271" s="44" t="str">
        <f>HYPERLINK("https://natura2000.sopsr.sk/lokality/uev/lokality-uev/?uev=SKUEV0290","Odkaz")</f>
        <v>Odkaz</v>
      </c>
      <c r="F271" s="44" t="str">
        <f>HYPERLINK("https://natura2000.sopsr.sk/wp-content/uploads/natura/legislativa/uev/ciele/SKUEV0290.docx","Spracované")</f>
        <v>Spracované</v>
      </c>
      <c r="G271" s="8" t="s">
        <v>23</v>
      </c>
      <c r="H271" s="10" t="s">
        <v>11</v>
      </c>
      <c r="I271" s="9" t="s">
        <v>230</v>
      </c>
      <c r="J271" s="10" t="s">
        <v>231</v>
      </c>
      <c r="K271" s="38">
        <v>8</v>
      </c>
    </row>
    <row r="272" spans="1:11" x14ac:dyDescent="0.25">
      <c r="A272" s="6" t="s">
        <v>606</v>
      </c>
      <c r="B272" s="36" t="s">
        <v>607</v>
      </c>
      <c r="C272" s="7" t="str">
        <f>HYPERLINK("https://data.sopsr.sk/chranene-objekty/chranene-uzemia/detail/SKUEV0291","Svätojánsky potok")</f>
        <v>Svätojánsky potok</v>
      </c>
      <c r="D272" s="33">
        <v>31.245799999999999</v>
      </c>
      <c r="E272" s="44" t="str">
        <f>HYPERLINK("https://natura2000.sopsr.sk/lokality/uev/lokality-uev/?uev=SKUEV0291","Odkaz")</f>
        <v>Odkaz</v>
      </c>
      <c r="F272" s="44" t="str">
        <f>HYPERLINK("https://natura2000.sopsr.sk/wp-content/uploads/natura/legislativa/uev/ciele/SKUEV0291.docx","Spracované")</f>
        <v>Spracované</v>
      </c>
      <c r="G272" s="13" t="s">
        <v>10</v>
      </c>
      <c r="H272" s="9" t="s">
        <v>11</v>
      </c>
      <c r="I272" s="10" t="s">
        <v>64</v>
      </c>
      <c r="J272" s="10" t="s">
        <v>231</v>
      </c>
      <c r="K272" s="38">
        <v>0</v>
      </c>
    </row>
    <row r="273" spans="1:11" x14ac:dyDescent="0.25">
      <c r="A273" s="6" t="s">
        <v>608</v>
      </c>
      <c r="B273" s="36" t="s">
        <v>609</v>
      </c>
      <c r="C273" s="7" t="str">
        <f>HYPERLINK("https://data.sopsr.sk/chranene-objekty/chranene-uzemia/detail/SKUEV0292","Drieňová hora")</f>
        <v>Drieňová hora</v>
      </c>
      <c r="D273" s="33">
        <v>9.7080000000000002</v>
      </c>
      <c r="E273" s="44" t="str">
        <f>HYPERLINK("https://natura2000.sopsr.sk/lokality/uev/lokality-uev/?uev=SKUEV0292","Odkaz")</f>
        <v>Odkaz</v>
      </c>
      <c r="F273" s="44" t="str">
        <f>HYPERLINK("https://natura2000.sopsr.sk/wp-content/uploads/natura/legislativa/uev/ciele/SKUEV0292.docx","Spracované")</f>
        <v>Spracované</v>
      </c>
      <c r="G273" s="10" t="s">
        <v>10</v>
      </c>
      <c r="H273" s="9" t="s">
        <v>20</v>
      </c>
      <c r="I273" s="9" t="s">
        <v>58</v>
      </c>
      <c r="J273" s="10" t="s">
        <v>40</v>
      </c>
      <c r="K273" s="38">
        <v>20</v>
      </c>
    </row>
    <row r="274" spans="1:11" x14ac:dyDescent="0.25">
      <c r="A274" s="6" t="s">
        <v>610</v>
      </c>
      <c r="B274" s="36" t="s">
        <v>611</v>
      </c>
      <c r="C274" s="7" t="str">
        <f>HYPERLINK("https://data.sopsr.sk/chranene-objekty/chranene-uzemia/detail/SKUEV0293","Kľúčovské rameno")</f>
        <v>Kľúčovské rameno</v>
      </c>
      <c r="D274" s="33">
        <v>671.36350000000004</v>
      </c>
      <c r="E274" s="44" t="str">
        <f>HYPERLINK("https://natura2000.sopsr.sk/lokality/uev/lokality-uev/?uev=SKUEV0293","Odkaz")</f>
        <v>Odkaz</v>
      </c>
      <c r="F274" s="44" t="str">
        <f>HYPERLINK("https://natura2000.sopsr.sk/wp-content/uploads/natura/legislativa/uev/ciele/SKUEV0293.docx","Spracované")</f>
        <v>Spracované</v>
      </c>
      <c r="G274" s="10" t="s">
        <v>10</v>
      </c>
      <c r="H274" s="9" t="s">
        <v>20</v>
      </c>
      <c r="I274" s="9" t="s">
        <v>167</v>
      </c>
      <c r="J274" s="10" t="s">
        <v>40</v>
      </c>
      <c r="K274" s="38">
        <v>100</v>
      </c>
    </row>
    <row r="275" spans="1:11" x14ac:dyDescent="0.25">
      <c r="A275" s="6" t="s">
        <v>612</v>
      </c>
      <c r="B275" s="36" t="s">
        <v>613</v>
      </c>
      <c r="C275" s="7" t="str">
        <f>HYPERLINK("https://data.sopsr.sk/chranene-objekty/chranene-uzemia/detail/SKUEV0294","Bagovský vrch")</f>
        <v>Bagovský vrch</v>
      </c>
      <c r="D275" s="33">
        <v>365.65390000000002</v>
      </c>
      <c r="E275" s="44" t="str">
        <f>HYPERLINK("https://natura2000.sopsr.sk/lokality/uev/lokality-uev/?uev=SKUEV0294","Odkaz")</f>
        <v>Odkaz</v>
      </c>
      <c r="F275" s="44" t="str">
        <f>HYPERLINK("https://natura2000.sopsr.sk/wp-content/uploads/natura/legislativa/uev/ciele/SKUEV0294.docx","Spracované")</f>
        <v>Spracované</v>
      </c>
      <c r="G275" s="10" t="s">
        <v>10</v>
      </c>
      <c r="H275" s="9" t="s">
        <v>20</v>
      </c>
      <c r="I275" s="9" t="s">
        <v>58</v>
      </c>
      <c r="J275" s="10" t="s">
        <v>40</v>
      </c>
      <c r="K275" s="38">
        <v>0</v>
      </c>
    </row>
    <row r="276" spans="1:11" x14ac:dyDescent="0.25">
      <c r="A276" s="6" t="s">
        <v>614</v>
      </c>
      <c r="B276" s="36" t="s">
        <v>615</v>
      </c>
      <c r="C276" s="7" t="str">
        <f>HYPERLINK("https://data.sopsr.sk/chranene-objekty/chranene-uzemia/detail/SKUEV0295","Biskupické luhy")</f>
        <v>Biskupické luhy</v>
      </c>
      <c r="D276" s="33">
        <v>916.84820000000002</v>
      </c>
      <c r="E276" s="44" t="str">
        <f>HYPERLINK("https://natura2000.sopsr.sk/lokality/uev/lokality-uev/?uev=SKUEV0295","Odkaz")</f>
        <v>Odkaz</v>
      </c>
      <c r="F276" s="44" t="str">
        <f>HYPERLINK("https://natura2000.sopsr.sk/wp-content/uploads/natura/legislativa/uev/ciele/SKUEV0295.docx","Spracované")</f>
        <v>Spracované</v>
      </c>
      <c r="G276" s="10" t="s">
        <v>10</v>
      </c>
      <c r="H276" s="9" t="s">
        <v>20</v>
      </c>
      <c r="I276" s="10" t="s">
        <v>146</v>
      </c>
      <c r="J276" s="9" t="s">
        <v>40</v>
      </c>
      <c r="K276" s="38">
        <v>100</v>
      </c>
    </row>
    <row r="277" spans="1:11" x14ac:dyDescent="0.25">
      <c r="A277" s="6" t="s">
        <v>616</v>
      </c>
      <c r="B277" s="36" t="s">
        <v>617</v>
      </c>
      <c r="C277" s="7" t="str">
        <f>HYPERLINK("https://data.sopsr.sk/chranene-objekty/chranene-uzemia/detail/SKUEV0296","Turková")</f>
        <v>Turková</v>
      </c>
      <c r="D277" s="33">
        <v>403.4151</v>
      </c>
      <c r="E277" s="44" t="str">
        <f>HYPERLINK("https://natura2000.sopsr.sk/lokality/uev/lokality-uev/?uev=SKUEV0296","Odkaz")</f>
        <v>Odkaz</v>
      </c>
      <c r="F277" s="44" t="str">
        <f>HYPERLINK("https://natura2000.sopsr.sk/wp-content/uploads/natura/legislativa/uev/ciele/SKUEV0296.docx","Spracované")</f>
        <v>Spracované</v>
      </c>
      <c r="G277" s="10" t="s">
        <v>10</v>
      </c>
      <c r="H277" s="10" t="s">
        <v>11</v>
      </c>
      <c r="I277" s="9" t="s">
        <v>127</v>
      </c>
      <c r="J277" s="10" t="s">
        <v>131</v>
      </c>
      <c r="K277" s="38">
        <v>100</v>
      </c>
    </row>
    <row r="278" spans="1:11" x14ac:dyDescent="0.25">
      <c r="A278" s="6" t="s">
        <v>618</v>
      </c>
      <c r="B278" s="36" t="s">
        <v>619</v>
      </c>
      <c r="C278" s="7" t="str">
        <f>HYPERLINK("https://data.sopsr.sk/chranene-objekty/chranene-uzemia/detail/SKUEV0297","Brezinky")</f>
        <v>Brezinky</v>
      </c>
      <c r="D278" s="33">
        <v>8.9527999999999999</v>
      </c>
      <c r="E278" s="44" t="str">
        <f>HYPERLINK("https://natura2000.sopsr.sk/lokality/uev/lokality-uev/?uev=SKUEV0297","Odkaz")</f>
        <v>Odkaz</v>
      </c>
      <c r="F278" s="44" t="str">
        <f>HYPERLINK("https://natura2000.sopsr.sk/wp-content/uploads/natura/legislativa/uev/ciele/SKUEV0297.docx","Spracované")</f>
        <v>Spracované</v>
      </c>
      <c r="G278" s="10" t="s">
        <v>10</v>
      </c>
      <c r="H278" s="10" t="s">
        <v>11</v>
      </c>
      <c r="I278" s="10" t="s">
        <v>61</v>
      </c>
      <c r="J278" s="10" t="s">
        <v>131</v>
      </c>
      <c r="K278" s="38">
        <v>100</v>
      </c>
    </row>
    <row r="279" spans="1:11" x14ac:dyDescent="0.25">
      <c r="A279" s="6" t="s">
        <v>620</v>
      </c>
      <c r="B279" s="36" t="s">
        <v>621</v>
      </c>
      <c r="C279" s="7" t="str">
        <f>HYPERLINK("https://data.sopsr.sk/chranene-objekty/chranene-uzemia/detail/SKUEV0298","Brvnište")</f>
        <v>Brvnište</v>
      </c>
      <c r="D279" s="33">
        <v>75.453100000000006</v>
      </c>
      <c r="E279" s="44" t="str">
        <f>HYPERLINK("https://natura2000.sopsr.sk/lokality/uev/lokality-uev/?uev=SKUEV0298","Odkaz")</f>
        <v>Odkaz</v>
      </c>
      <c r="F279" s="44" t="str">
        <f>HYPERLINK("https://natura2000.sopsr.sk/wp-content/uploads/natura/legislativa/uev/ciele/SKUEV0298.docx","Spracované")</f>
        <v>Spracované</v>
      </c>
      <c r="G279" s="10" t="s">
        <v>10</v>
      </c>
      <c r="H279" s="10" t="s">
        <v>11</v>
      </c>
      <c r="I279" s="10" t="s">
        <v>61</v>
      </c>
      <c r="J279" s="10" t="s">
        <v>131</v>
      </c>
      <c r="K279" s="38">
        <v>100</v>
      </c>
    </row>
    <row r="280" spans="1:11" x14ac:dyDescent="0.25">
      <c r="A280" s="6" t="s">
        <v>622</v>
      </c>
      <c r="B280" s="36" t="s">
        <v>623</v>
      </c>
      <c r="C280" s="7" t="str">
        <f>HYPERLINK("https://data.sopsr.sk/chranene-objekty/chranene-uzemia/detail/SKUEV0299","Baranovo")</f>
        <v>Baranovo</v>
      </c>
      <c r="D280" s="33">
        <v>861.83370000000002</v>
      </c>
      <c r="E280" s="44" t="str">
        <f>HYPERLINK("https://natura2000.sopsr.sk/lokality/uev/lokality-uev/?uev=SKUEV0299","Odkaz")</f>
        <v>Odkaz</v>
      </c>
      <c r="F280" s="44" t="str">
        <f>HYPERLINK("https://natura2000.sopsr.sk/wp-content/uploads/natura/legislativa/uev/ciele/SKUEV0299.docx","Spracované")</f>
        <v>Spracované</v>
      </c>
      <c r="G280" s="10" t="s">
        <v>10</v>
      </c>
      <c r="H280" s="10" t="s">
        <v>11</v>
      </c>
      <c r="I280" s="10" t="s">
        <v>61</v>
      </c>
      <c r="J280" s="10" t="s">
        <v>131</v>
      </c>
      <c r="K280" s="38">
        <v>100</v>
      </c>
    </row>
    <row r="281" spans="1:11" x14ac:dyDescent="0.25">
      <c r="A281" s="6" t="s">
        <v>624</v>
      </c>
      <c r="B281" s="36" t="s">
        <v>625</v>
      </c>
      <c r="C281" s="7" t="str">
        <f>HYPERLINK("https://data.sopsr.sk/chranene-objekty/chranene-uzemia/detail/SKUEV0300","Skribňovo")</f>
        <v>Skribňovo</v>
      </c>
      <c r="D281" s="33">
        <v>128.1833</v>
      </c>
      <c r="E281" s="44" t="str">
        <f>HYPERLINK("https://natura2000.sopsr.sk/lokality/uev/lokality-uev/?uev=SKUEV0300","Odkaz")</f>
        <v>Odkaz</v>
      </c>
      <c r="F281" s="44" t="str">
        <f>HYPERLINK("https://natura2000.sopsr.sk/wp-content/uploads/natura/legislativa/uev/ciele/SKUEV0300.docx","Spracované")</f>
        <v>Spracované</v>
      </c>
      <c r="G281" s="10" t="s">
        <v>10</v>
      </c>
      <c r="H281" s="10" t="s">
        <v>11</v>
      </c>
      <c r="I281" s="9" t="s">
        <v>127</v>
      </c>
      <c r="J281" s="10" t="s">
        <v>131</v>
      </c>
      <c r="K281" s="38">
        <v>100</v>
      </c>
    </row>
    <row r="282" spans="1:11" x14ac:dyDescent="0.25">
      <c r="A282" s="6" t="s">
        <v>626</v>
      </c>
      <c r="B282" s="36" t="s">
        <v>627</v>
      </c>
      <c r="C282" s="7" t="str">
        <f>HYPERLINK("https://data.sopsr.sk/chranene-objekty/chranene-uzemia/detail/SKUEV0301","Kopec")</f>
        <v>Kopec</v>
      </c>
      <c r="D282" s="33">
        <v>3.7645</v>
      </c>
      <c r="E282" s="44" t="str">
        <f>HYPERLINK("https://natura2000.sopsr.sk/lokality/uev/lokality-uev/?uev=SKUEV0301","Odkaz")</f>
        <v>Odkaz</v>
      </c>
      <c r="F282" s="44" t="str">
        <f>HYPERLINK("https://natura2000.sopsr.sk/wp-content/uploads/natura/legislativa/uev/ciele/SKUEV0301.docx","Spracované")</f>
        <v>Spracované</v>
      </c>
      <c r="G282" s="8" t="s">
        <v>23</v>
      </c>
      <c r="H282" s="10" t="s">
        <v>11</v>
      </c>
      <c r="I282" s="10" t="s">
        <v>61</v>
      </c>
      <c r="J282" s="10" t="s">
        <v>131</v>
      </c>
      <c r="K282" s="38">
        <v>100</v>
      </c>
    </row>
    <row r="283" spans="1:11" x14ac:dyDescent="0.25">
      <c r="A283" s="6" t="s">
        <v>628</v>
      </c>
      <c r="B283" s="36" t="s">
        <v>629</v>
      </c>
      <c r="C283" s="7" t="str">
        <f>HYPERLINK("https://data.sopsr.sk/chranene-objekty/chranene-uzemia/detail/SKUEV0302","Ďumbierske Tatry")</f>
        <v>Ďumbierske Tatry</v>
      </c>
      <c r="D283" s="33">
        <v>44125.9444</v>
      </c>
      <c r="E283" s="44" t="str">
        <f>HYPERLINK("https://natura2000.sopsr.sk/lokality/uev/lokality-uev/?uev=SKUEV0302","Odkaz")</f>
        <v>Odkaz</v>
      </c>
      <c r="F283" s="44" t="str">
        <f>HYPERLINK("https://natura2000.sopsr.sk/wp-content/uploads/natura/legislativa/uev/ciele/SKUEV0302.docx","Spracované")</f>
        <v>Spracované</v>
      </c>
      <c r="G283" s="10" t="s">
        <v>10</v>
      </c>
      <c r="H283" s="10" t="s">
        <v>11</v>
      </c>
      <c r="I283" s="10" t="s">
        <v>419</v>
      </c>
      <c r="J283" s="10" t="s">
        <v>131</v>
      </c>
      <c r="K283" s="38">
        <v>100</v>
      </c>
    </row>
    <row r="284" spans="1:11" x14ac:dyDescent="0.25">
      <c r="A284" s="6" t="s">
        <v>630</v>
      </c>
      <c r="B284" s="36" t="s">
        <v>631</v>
      </c>
      <c r="C284" s="7" t="str">
        <f>HYPERLINK("https://data.sopsr.sk/chranene-objekty/chranene-uzemia/detail/SKUEV0303","Alúvium Hrona")</f>
        <v>Alúvium Hrona</v>
      </c>
      <c r="D284" s="33">
        <v>485.52069999999998</v>
      </c>
      <c r="E284" s="44" t="str">
        <f>HYPERLINK("https://natura2000.sopsr.sk/lokality/uev/lokality-uev/?uev=SKUEV0303","Odkaz")</f>
        <v>Odkaz</v>
      </c>
      <c r="F284" s="44" t="str">
        <f>HYPERLINK("https://natura2000.sopsr.sk/wp-content/uploads/natura/legislativa/uev/ciele/SKUEV0303.docx","Spracované")</f>
        <v>Spracované</v>
      </c>
      <c r="G284" s="10" t="s">
        <v>10</v>
      </c>
      <c r="H284" s="10" t="s">
        <v>11</v>
      </c>
      <c r="I284" s="10" t="s">
        <v>61</v>
      </c>
      <c r="J284" s="10" t="s">
        <v>131</v>
      </c>
      <c r="K284" s="38">
        <v>20</v>
      </c>
    </row>
    <row r="285" spans="1:11" x14ac:dyDescent="0.25">
      <c r="A285" s="6" t="s">
        <v>632</v>
      </c>
      <c r="B285" s="36" t="s">
        <v>633</v>
      </c>
      <c r="C285" s="7" t="str">
        <f>HYPERLINK("https://data.sopsr.sk/chranene-objekty/chranene-uzemia/detail/SKUEV0304","Oravská vodná nádrž")</f>
        <v>Oravská vodná nádrž</v>
      </c>
      <c r="D285" s="33">
        <v>646.56590000000006</v>
      </c>
      <c r="E285" s="44" t="str">
        <f>HYPERLINK("https://natura2000.sopsr.sk/lokality/uev/lokality-uev/?uev=SKUEV0304","Odkaz")</f>
        <v>Odkaz</v>
      </c>
      <c r="F285" s="44" t="str">
        <f>HYPERLINK("https://natura2000.sopsr.sk/wp-content/uploads/natura/legislativa/uev/ciele/SKUEV0304.docx","Spracované")</f>
        <v>Spracované</v>
      </c>
      <c r="G285" s="10" t="s">
        <v>10</v>
      </c>
      <c r="H285" s="10" t="s">
        <v>11</v>
      </c>
      <c r="I285" s="9" t="s">
        <v>127</v>
      </c>
      <c r="J285" s="10" t="s">
        <v>128</v>
      </c>
      <c r="K285" s="38">
        <v>100</v>
      </c>
    </row>
    <row r="286" spans="1:11" x14ac:dyDescent="0.25">
      <c r="A286" s="6" t="s">
        <v>634</v>
      </c>
      <c r="B286" s="36" t="s">
        <v>635</v>
      </c>
      <c r="C286" s="7" t="str">
        <f>HYPERLINK("https://data.sopsr.sk/chranene-objekty/chranene-uzemia/detail/SKUEV0305","Choč")</f>
        <v>Choč</v>
      </c>
      <c r="D286" s="33">
        <v>1598.0847000000001</v>
      </c>
      <c r="E286" s="44" t="str">
        <f>HYPERLINK("https://natura2000.sopsr.sk/lokality/uev/lokality-uev/?uev=SKUEV0305","Odkaz")</f>
        <v>Odkaz</v>
      </c>
      <c r="F286" s="44" t="str">
        <f>HYPERLINK("https://natura2000.sopsr.sk/wp-content/uploads/natura/legislativa/uev/ciele/SKUEV0305.docx","Spracované")</f>
        <v>Spracované</v>
      </c>
      <c r="G286" s="10" t="s">
        <v>10</v>
      </c>
      <c r="H286" s="10" t="s">
        <v>11</v>
      </c>
      <c r="I286" s="9" t="s">
        <v>127</v>
      </c>
      <c r="J286" s="10" t="s">
        <v>299</v>
      </c>
      <c r="K286" s="38">
        <v>90</v>
      </c>
    </row>
    <row r="287" spans="1:11" x14ac:dyDescent="0.25">
      <c r="A287" s="6" t="s">
        <v>636</v>
      </c>
      <c r="B287" s="36" t="s">
        <v>637</v>
      </c>
      <c r="C287" s="7" t="str">
        <f>HYPERLINK("https://data.sopsr.sk/chranene-objekty/chranene-uzemia/detail/SKUEV0306","Pod Suchým hrádkom")</f>
        <v>Pod Suchým hrádkom</v>
      </c>
      <c r="D287" s="33">
        <v>720.59220000000005</v>
      </c>
      <c r="E287" s="44" t="str">
        <f>HYPERLINK("https://natura2000.sopsr.sk/lokality/uev/lokality-uev/?uev=SKUEV0306","Odkaz")</f>
        <v>Odkaz</v>
      </c>
      <c r="F287" s="44" t="str">
        <f>HYPERLINK("https://natura2000.sopsr.sk/wp-content/uploads/natura/legislativa/uev/ciele/SKUEV0306.docx","Spracované")</f>
        <v>Spracované</v>
      </c>
      <c r="G287" s="10" t="s">
        <v>10</v>
      </c>
      <c r="H287" s="10" t="s">
        <v>11</v>
      </c>
      <c r="I287" s="9" t="s">
        <v>127</v>
      </c>
      <c r="J287" s="10" t="s">
        <v>299</v>
      </c>
      <c r="K287" s="38">
        <v>0</v>
      </c>
    </row>
    <row r="288" spans="1:11" x14ac:dyDescent="0.25">
      <c r="A288" s="6" t="s">
        <v>638</v>
      </c>
      <c r="B288" s="36" t="s">
        <v>639</v>
      </c>
      <c r="C288" s="7" t="str">
        <f>HYPERLINK("https://data.sopsr.sk/chranene-objekty/chranene-uzemia/detail/SKUEV0307","Tatry")</f>
        <v>Tatry</v>
      </c>
      <c r="D288" s="33">
        <v>67032.564499999993</v>
      </c>
      <c r="E288" s="44" t="str">
        <f>HYPERLINK("https://natura2000.sopsr.sk/lokality/uev/lokality-uev/?uev=SKUEV0307","Odkaz")</f>
        <v>Odkaz</v>
      </c>
      <c r="F288" s="44" t="str">
        <f>HYPERLINK("https://natura2000.sopsr.sk/wp-content/uploads/natura/legislativa/uev/ciele/SKUEV0307.docx","Spracované")</f>
        <v>Spracované</v>
      </c>
      <c r="G288" s="10" t="s">
        <v>10</v>
      </c>
      <c r="H288" s="10" t="s">
        <v>11</v>
      </c>
      <c r="I288" s="9" t="s">
        <v>640</v>
      </c>
      <c r="J288" s="10" t="s">
        <v>299</v>
      </c>
      <c r="K288" s="38">
        <v>100</v>
      </c>
    </row>
    <row r="289" spans="1:11" x14ac:dyDescent="0.25">
      <c r="A289" s="6" t="s">
        <v>641</v>
      </c>
      <c r="B289" s="36" t="s">
        <v>642</v>
      </c>
      <c r="C289" s="7" t="str">
        <f>HYPERLINK("https://data.sopsr.sk/chranene-objekty/chranene-uzemia/detail/SKUEV0308","Machy")</f>
        <v>Machy</v>
      </c>
      <c r="D289" s="33">
        <v>165.2398</v>
      </c>
      <c r="E289" s="44" t="str">
        <f>HYPERLINK("https://natura2000.sopsr.sk/lokality/uev/lokality-uev/?uev=SKUEV0308","Odkaz")</f>
        <v>Odkaz</v>
      </c>
      <c r="F289" s="44" t="str">
        <f>HYPERLINK("https://natura2000.sopsr.sk/wp-content/uploads/natura/legislativa/uev/ciele/SKUEV0308.docx","Spracované")</f>
        <v>Spracované</v>
      </c>
      <c r="G289" s="10" t="s">
        <v>10</v>
      </c>
      <c r="H289" s="10" t="s">
        <v>11</v>
      </c>
      <c r="I289" s="9" t="s">
        <v>640</v>
      </c>
      <c r="J289" s="10" t="s">
        <v>299</v>
      </c>
      <c r="K289" s="38">
        <v>17</v>
      </c>
    </row>
    <row r="290" spans="1:11" x14ac:dyDescent="0.25">
      <c r="A290" s="6" t="s">
        <v>643</v>
      </c>
      <c r="B290" s="36" t="s">
        <v>644</v>
      </c>
      <c r="C290" s="7" t="str">
        <f>HYPERLINK("https://data.sopsr.sk/chranene-objekty/chranene-uzemia/detail/SKUEV0309","Poprad")</f>
        <v>Poprad</v>
      </c>
      <c r="D290" s="33">
        <v>44.5334</v>
      </c>
      <c r="E290" s="44" t="str">
        <f>HYPERLINK("https://natura2000.sopsr.sk/lokality/uev/lokality-uev/?uev=SKUEV0309","Odkaz")</f>
        <v>Odkaz</v>
      </c>
      <c r="F290" s="44" t="str">
        <f>HYPERLINK("https://natura2000.sopsr.sk/wp-content/uploads/natura/legislativa/uev/ciele/SKUEV0309.docx","Spracované")</f>
        <v>Spracované</v>
      </c>
      <c r="G290" s="10" t="s">
        <v>10</v>
      </c>
      <c r="H290" s="10" t="s">
        <v>11</v>
      </c>
      <c r="I290" s="9" t="s">
        <v>55</v>
      </c>
      <c r="J290" s="10" t="s">
        <v>299</v>
      </c>
      <c r="K290" s="38">
        <v>8</v>
      </c>
    </row>
    <row r="291" spans="1:11" ht="22.5" customHeight="1" x14ac:dyDescent="0.25">
      <c r="A291" s="6" t="s">
        <v>645</v>
      </c>
      <c r="B291" s="36" t="s">
        <v>646</v>
      </c>
      <c r="C291" s="7" t="str">
        <f>HYPERLINK("https://data.sopsr.sk/chranene-objekty/chranene-uzemia/detail/SKUEV0310","Kráľovohoľské Tatry")</f>
        <v>Kráľovohoľské Tatry</v>
      </c>
      <c r="D291" s="33">
        <v>30632.019400000001</v>
      </c>
      <c r="E291" s="44" t="str">
        <f>HYPERLINK("https://natura2000.sopsr.sk/lokality/uev/lokality-uev/?uev=SKUEV0310","Odkaz")</f>
        <v>Odkaz</v>
      </c>
      <c r="F291" s="44" t="str">
        <f>HYPERLINK("https://natura2000.sopsr.sk/wp-content/uploads/natura/legislativa/uev/ciele/SKUEV0310.docx","Spracované")</f>
        <v>Spracované</v>
      </c>
      <c r="G291" s="10" t="s">
        <v>10</v>
      </c>
      <c r="H291" s="10" t="s">
        <v>11</v>
      </c>
      <c r="I291" s="9" t="s">
        <v>647</v>
      </c>
      <c r="J291" s="10" t="s">
        <v>131</v>
      </c>
      <c r="K291" s="38">
        <v>100</v>
      </c>
    </row>
    <row r="292" spans="1:11" x14ac:dyDescent="0.25">
      <c r="A292" s="6" t="s">
        <v>648</v>
      </c>
      <c r="B292" s="36" t="s">
        <v>649</v>
      </c>
      <c r="C292" s="7" t="str">
        <f>HYPERLINK("https://data.sopsr.sk/chranene-objekty/chranene-uzemia/detail/SKUEV0311","Kačenky")</f>
        <v>Kačenky</v>
      </c>
      <c r="D292" s="33">
        <v>324.55489999999998</v>
      </c>
      <c r="E292" s="44" t="str">
        <f>HYPERLINK("https://natura2000.sopsr.sk/lokality/uev/lokality-uev/?uev=SKUEV0311","Odkaz")</f>
        <v>Odkaz</v>
      </c>
      <c r="F292" s="44" t="str">
        <f>HYPERLINK("https://natura2000.sopsr.sk/wp-content/uploads/natura/legislativa/uev/ciele/SKUEV0311.docx","Spracované")</f>
        <v>Spracované</v>
      </c>
      <c r="G292" s="10" t="s">
        <v>10</v>
      </c>
      <c r="H292" s="9" t="s">
        <v>20</v>
      </c>
      <c r="I292" s="9" t="s">
        <v>167</v>
      </c>
      <c r="J292" s="10" t="s">
        <v>250</v>
      </c>
      <c r="K292" s="38">
        <v>91</v>
      </c>
    </row>
    <row r="293" spans="1:11" x14ac:dyDescent="0.25">
      <c r="A293" s="6" t="s">
        <v>650</v>
      </c>
      <c r="B293" s="36" t="s">
        <v>651</v>
      </c>
      <c r="C293" s="7" t="str">
        <f>HYPERLINK("https://data.sopsr.sk/chranene-objekty/chranene-uzemia/detail/SKUEV0312","Devínske alúvium Moravy")</f>
        <v>Devínske alúvium Moravy</v>
      </c>
      <c r="D293" s="33">
        <v>156.15199999999999</v>
      </c>
      <c r="E293" s="44" t="str">
        <f>HYPERLINK("https://natura2000.sopsr.sk/lokality/uev/lokality-uev/?uev=SKUEV0312","Odkaz")</f>
        <v>Odkaz</v>
      </c>
      <c r="F293" s="44" t="str">
        <f>HYPERLINK("https://natura2000.sopsr.sk/wp-content/uploads/natura/legislativa/uev/ciele/SKUEV0312.docx","Spracované")</f>
        <v>Spracované</v>
      </c>
      <c r="G293" s="10" t="s">
        <v>10</v>
      </c>
      <c r="H293" s="9" t="s">
        <v>20</v>
      </c>
      <c r="I293" s="10" t="s">
        <v>146</v>
      </c>
      <c r="J293" s="10" t="s">
        <v>250</v>
      </c>
      <c r="K293" s="38">
        <v>100</v>
      </c>
    </row>
    <row r="294" spans="1:11" x14ac:dyDescent="0.25">
      <c r="A294" s="6" t="s">
        <v>652</v>
      </c>
      <c r="B294" s="36" t="s">
        <v>653</v>
      </c>
      <c r="C294" s="7" t="str">
        <f>HYPERLINK("https://data.sopsr.sk/chranene-objekty/chranene-uzemia/detail/SKUEV0313","Devínske jazero")</f>
        <v>Devínske jazero</v>
      </c>
      <c r="D294" s="33">
        <v>1323.4319</v>
      </c>
      <c r="E294" s="44" t="str">
        <f>HYPERLINK("https://natura2000.sopsr.sk/lokality/uev/lokality-uev/?uev=SKUEV0313","Odkaz")</f>
        <v>Odkaz</v>
      </c>
      <c r="F294" s="44" t="str">
        <f>HYPERLINK("https://natura2000.sopsr.sk/wp-content/uploads/natura/legislativa/uev/ciele/SKUEV0313.docx","Spracované")</f>
        <v>Spracované</v>
      </c>
      <c r="G294" s="8" t="s">
        <v>23</v>
      </c>
      <c r="H294" s="9" t="s">
        <v>20</v>
      </c>
      <c r="I294" s="10" t="s">
        <v>146</v>
      </c>
      <c r="J294" s="10" t="s">
        <v>250</v>
      </c>
      <c r="K294" s="38">
        <v>100</v>
      </c>
    </row>
    <row r="295" spans="1:11" x14ac:dyDescent="0.25">
      <c r="A295" s="6" t="s">
        <v>654</v>
      </c>
      <c r="B295" s="36" t="s">
        <v>655</v>
      </c>
      <c r="C295" s="7" t="str">
        <f>HYPERLINK("https://data.sopsr.sk/chranene-objekty/chranene-uzemia/detail/SKUEV0314","Morava")</f>
        <v>Morava</v>
      </c>
      <c r="D295" s="33">
        <v>292.82319999999999</v>
      </c>
      <c r="E295" s="44" t="str">
        <f>HYPERLINK("https://natura2000.sopsr.sk/lokality/uev/lokality-uev/?uev=SKUEV0314","Odkaz")</f>
        <v>Odkaz</v>
      </c>
      <c r="F295" s="44" t="str">
        <f>HYPERLINK("https://natura2000.sopsr.sk/wp-content/uploads/natura/legislativa/uev/ciele/SKUEV0314.docx","Spracované")</f>
        <v>Spracované</v>
      </c>
      <c r="G295" s="10" t="s">
        <v>10</v>
      </c>
      <c r="H295" s="9" t="s">
        <v>20</v>
      </c>
      <c r="I295" s="10" t="s">
        <v>357</v>
      </c>
      <c r="J295" s="10" t="s">
        <v>250</v>
      </c>
      <c r="K295" s="39">
        <v>93.62</v>
      </c>
    </row>
    <row r="296" spans="1:11" x14ac:dyDescent="0.25">
      <c r="A296" s="6" t="s">
        <v>656</v>
      </c>
      <c r="B296" s="36" t="s">
        <v>657</v>
      </c>
      <c r="C296" s="7" t="str">
        <f>HYPERLINK("https://data.sopsr.sk/chranene-objekty/chranene-uzemia/detail/SKUEV0315","Skalické alúvium Moravy")</f>
        <v>Skalické alúvium Moravy</v>
      </c>
      <c r="D296" s="33">
        <v>362.30079999999998</v>
      </c>
      <c r="E296" s="44" t="str">
        <f>HYPERLINK("https://natura2000.sopsr.sk/lokality/uev/lokality-uev/?uev=SKUEV0315","Odkaz")</f>
        <v>Odkaz</v>
      </c>
      <c r="F296" s="44" t="str">
        <f>HYPERLINK("https://natura2000.sopsr.sk/wp-content/uploads/natura/legislativa/uev/ciele/SKUEV0315.docx","Spracované")</f>
        <v>Spracované</v>
      </c>
      <c r="G296" s="10" t="s">
        <v>10</v>
      </c>
      <c r="H296" s="9" t="s">
        <v>20</v>
      </c>
      <c r="I296" s="9" t="s">
        <v>167</v>
      </c>
      <c r="J296" s="10" t="s">
        <v>250</v>
      </c>
      <c r="K296" s="38">
        <v>7</v>
      </c>
    </row>
    <row r="297" spans="1:11" ht="24.75" customHeight="1" x14ac:dyDescent="0.25">
      <c r="A297" s="6" t="s">
        <v>658</v>
      </c>
      <c r="B297" s="36" t="s">
        <v>659</v>
      </c>
      <c r="C297" s="7" t="str">
        <f>HYPERLINK("https://data.sopsr.sk/chranene-objekty/chranene-uzemia/detail/SKUEV0316","Šranecké piesky")</f>
        <v>Šranecké piesky</v>
      </c>
      <c r="D297" s="33">
        <v>992.69370000000004</v>
      </c>
      <c r="E297" s="44" t="str">
        <f>HYPERLINK("https://natura2000.sopsr.sk/lokality/uev/lokality-uev/?uev=SKUEV0316","Odkaz")</f>
        <v>Odkaz</v>
      </c>
      <c r="F297" s="44" t="str">
        <f>HYPERLINK("https://natura2000.sopsr.sk/wp-content/uploads/natura/legislativa/uev/ciele/SKUEV0316.docx","Spracované")</f>
        <v>Spracované</v>
      </c>
      <c r="G297" s="18" t="s">
        <v>10</v>
      </c>
      <c r="H297" s="9" t="s">
        <v>20</v>
      </c>
      <c r="I297" s="10" t="s">
        <v>146</v>
      </c>
      <c r="J297" s="10" t="s">
        <v>250</v>
      </c>
      <c r="K297" s="38">
        <v>100</v>
      </c>
    </row>
    <row r="298" spans="1:11" x14ac:dyDescent="0.25">
      <c r="A298" s="6" t="s">
        <v>660</v>
      </c>
      <c r="B298" s="36" t="s">
        <v>661</v>
      </c>
      <c r="C298" s="7" t="str">
        <f>HYPERLINK("https://data.sopsr.sk/chranene-objekty/chranene-uzemia/detail/SKUEV0317","Rozporec")</f>
        <v>Rozporec</v>
      </c>
      <c r="D298" s="33">
        <v>79.043700000000001</v>
      </c>
      <c r="E298" s="44" t="str">
        <f>HYPERLINK("https://natura2000.sopsr.sk/lokality/uev/lokality-uev/?uev=SKUEV0317","Odkaz")</f>
        <v>Odkaz</v>
      </c>
      <c r="F298" s="44" t="str">
        <f>HYPERLINK("https://natura2000.sopsr.sk/wp-content/uploads/natura/legislativa/uev/ciele/SKUEV0317.docx","Spracované")</f>
        <v>Spracované</v>
      </c>
      <c r="G298" s="10" t="s">
        <v>10</v>
      </c>
      <c r="H298" s="9" t="s">
        <v>20</v>
      </c>
      <c r="I298" s="10" t="s">
        <v>146</v>
      </c>
      <c r="J298" s="10" t="s">
        <v>250</v>
      </c>
      <c r="K298" s="38">
        <v>100</v>
      </c>
    </row>
    <row r="299" spans="1:11" x14ac:dyDescent="0.25">
      <c r="A299" s="6" t="s">
        <v>662</v>
      </c>
      <c r="B299" s="36" t="s">
        <v>663</v>
      </c>
      <c r="C299" s="7" t="str">
        <f>HYPERLINK("https://data.sopsr.sk/chranene-objekty/chranene-uzemia/detail/SKUEV0318","Pod Bukovou")</f>
        <v>Pod Bukovou</v>
      </c>
      <c r="D299" s="33">
        <v>809.60339999999997</v>
      </c>
      <c r="E299" s="44" t="str">
        <f>HYPERLINK("https://natura2000.sopsr.sk/lokality/uev/lokality-uev/?uev=SKUEV0318","Odkaz")</f>
        <v>Odkaz</v>
      </c>
      <c r="F299" s="44" t="str">
        <f>HYPERLINK("https://natura2000.sopsr.sk/wp-content/uploads/natura/legislativa/uev/ciele/SKUEV0318.docx","Spracované")</f>
        <v>Spracované</v>
      </c>
      <c r="G299" s="10" t="s">
        <v>10</v>
      </c>
      <c r="H299" s="10" t="s">
        <v>11</v>
      </c>
      <c r="I299" s="9" t="s">
        <v>55</v>
      </c>
      <c r="J299" s="10" t="s">
        <v>27</v>
      </c>
      <c r="K299" s="38">
        <v>0</v>
      </c>
    </row>
    <row r="300" spans="1:11" x14ac:dyDescent="0.25">
      <c r="A300" s="6" t="s">
        <v>664</v>
      </c>
      <c r="B300" s="36" t="s">
        <v>665</v>
      </c>
      <c r="C300" s="7" t="str">
        <f>HYPERLINK("https://data.sopsr.sk/chranene-objekty/chranene-uzemia/detail/SKUEV0319","Poľana")</f>
        <v>Poľana</v>
      </c>
      <c r="D300" s="33">
        <v>3086.0871999999999</v>
      </c>
      <c r="E300" s="44" t="str">
        <f>HYPERLINK("https://natura2000.sopsr.sk/lokality/uev/lokality-uev/?uev=SKUEV0319","Odkaz")</f>
        <v>Odkaz</v>
      </c>
      <c r="F300" s="44" t="str">
        <f>HYPERLINK("https://natura2000.sopsr.sk/wp-content/uploads/natura/legislativa/uev/ciele/SKUEV0319.docx","Spracované")</f>
        <v>Spracované</v>
      </c>
      <c r="G300" s="10" t="s">
        <v>10</v>
      </c>
      <c r="H300" s="10" t="s">
        <v>11</v>
      </c>
      <c r="I300" s="9" t="s">
        <v>61</v>
      </c>
      <c r="J300" s="10" t="s">
        <v>34</v>
      </c>
      <c r="K300" s="38">
        <v>100</v>
      </c>
    </row>
    <row r="301" spans="1:11" ht="26.25" customHeight="1" x14ac:dyDescent="0.25">
      <c r="A301" s="6" t="s">
        <v>666</v>
      </c>
      <c r="B301" s="36" t="s">
        <v>667</v>
      </c>
      <c r="C301" s="7" t="str">
        <f>HYPERLINK("https://data.sopsr.sk/chranene-objekty/chranene-uzemia/detail/SKUEV0320","Šindliar")</f>
        <v>Šindliar</v>
      </c>
      <c r="D301" s="33">
        <v>8.1298999999999992</v>
      </c>
      <c r="E301" s="44" t="str">
        <f>HYPERLINK("https://natura2000.sopsr.sk/lokality/uev/lokality-uev/?uev=SKUEV0320","Odkaz")</f>
        <v>Odkaz</v>
      </c>
      <c r="F301" s="44" t="str">
        <f>HYPERLINK("https://natura2000.sopsr.sk/wp-content/uploads/natura/legislativa/uev/ciele/SKUEV0320.docx","Spracované")</f>
        <v>Spracované</v>
      </c>
      <c r="G301" s="10" t="s">
        <v>10</v>
      </c>
      <c r="H301" s="10" t="s">
        <v>11</v>
      </c>
      <c r="I301" s="9" t="s">
        <v>55</v>
      </c>
      <c r="J301" s="10" t="s">
        <v>1401</v>
      </c>
      <c r="K301" s="38">
        <v>100</v>
      </c>
    </row>
    <row r="302" spans="1:11" x14ac:dyDescent="0.25">
      <c r="A302" s="6" t="s">
        <v>668</v>
      </c>
      <c r="B302" s="36" t="s">
        <v>669</v>
      </c>
      <c r="C302" s="7" t="str">
        <f>HYPERLINK("https://data.sopsr.sk/chranene-objekty/chranene-uzemia/detail/SKUEV0321","Salvátorské lúky")</f>
        <v>Salvátorské lúky</v>
      </c>
      <c r="D302" s="33">
        <v>2.6326999999999998</v>
      </c>
      <c r="E302" s="44" t="str">
        <f>HYPERLINK("https://natura2000.sopsr.sk/lokality/uev/lokality-uev/?uev=SKUEV0321","Odkaz")</f>
        <v>Odkaz</v>
      </c>
      <c r="F302" s="44" t="str">
        <f>HYPERLINK("https://natura2000.sopsr.sk/wp-content/uploads/natura/legislativa/uev/ciele/SKUEV0321.docx","Spracované")</f>
        <v>Spracované</v>
      </c>
      <c r="G302" s="10" t="s">
        <v>10</v>
      </c>
      <c r="H302" s="9" t="s">
        <v>11</v>
      </c>
      <c r="I302" s="9" t="s">
        <v>55</v>
      </c>
      <c r="J302" s="10" t="s">
        <v>1401</v>
      </c>
      <c r="K302" s="38">
        <v>100</v>
      </c>
    </row>
    <row r="303" spans="1:11" x14ac:dyDescent="0.25">
      <c r="A303" s="6" t="s">
        <v>670</v>
      </c>
      <c r="B303" s="36" t="s">
        <v>671</v>
      </c>
      <c r="C303" s="7" t="str">
        <f>HYPERLINK("https://data.sopsr.sk/chranene-objekty/chranene-uzemia/detail/SKUEV0322","Fintické svahy")</f>
        <v>Fintické svahy</v>
      </c>
      <c r="D303" s="33">
        <v>746.50959999999998</v>
      </c>
      <c r="E303" s="44" t="str">
        <f>HYPERLINK("https://natura2000.sopsr.sk/lokality/uev/lokality-uev/?uev=SKUEV0322","Odkaz")</f>
        <v>Odkaz</v>
      </c>
      <c r="F303" s="44" t="str">
        <f>HYPERLINK("https://natura2000.sopsr.sk/wp-content/uploads/natura/legislativa/uev/ciele/SKUEV0322.docx","Spracované")</f>
        <v>Spracované</v>
      </c>
      <c r="G303" s="10" t="s">
        <v>10</v>
      </c>
      <c r="H303" s="10" t="s">
        <v>11</v>
      </c>
      <c r="I303" s="9" t="s">
        <v>55</v>
      </c>
      <c r="J303" s="10" t="s">
        <v>1401</v>
      </c>
      <c r="K303" s="38">
        <v>7.93</v>
      </c>
    </row>
    <row r="304" spans="1:11" x14ac:dyDescent="0.25">
      <c r="A304" s="6" t="s">
        <v>672</v>
      </c>
      <c r="B304" s="36" t="s">
        <v>673</v>
      </c>
      <c r="C304" s="7" t="str">
        <f>HYPERLINK("https://data.sopsr.sk/chranene-objekty/chranene-uzemia/detail/SKUEV0323","Demjatské kopce")</f>
        <v>Demjatské kopce</v>
      </c>
      <c r="D304" s="33">
        <v>9.2554999999999996</v>
      </c>
      <c r="E304" s="44" t="str">
        <f>HYPERLINK("https://natura2000.sopsr.sk/lokality/uev/lokality-uev/?uev=SKUEV0323","Odkaz")</f>
        <v>Odkaz</v>
      </c>
      <c r="F304" s="44" t="str">
        <f>HYPERLINK("https://natura2000.sopsr.sk/wp-content/uploads/natura/legislativa/uev/ciele/SKUEV0323.docx","Spracované")</f>
        <v>Spracované</v>
      </c>
      <c r="G304" s="10" t="s">
        <v>10</v>
      </c>
      <c r="H304" s="10" t="s">
        <v>11</v>
      </c>
      <c r="I304" s="9" t="s">
        <v>55</v>
      </c>
      <c r="J304" s="10" t="s">
        <v>1401</v>
      </c>
      <c r="K304" s="38">
        <v>100</v>
      </c>
    </row>
    <row r="305" spans="1:11" x14ac:dyDescent="0.25">
      <c r="A305" s="6" t="s">
        <v>674</v>
      </c>
      <c r="B305" s="36" t="s">
        <v>675</v>
      </c>
      <c r="C305" s="7" t="str">
        <f>HYPERLINK("https://data.sopsr.sk/chranene-objekty/chranene-uzemia/detail/SKUEV0324","Radvanovské skalky")</f>
        <v>Radvanovské skalky</v>
      </c>
      <c r="D305" s="33">
        <v>2.5949</v>
      </c>
      <c r="E305" s="44" t="str">
        <f>HYPERLINK("https://natura2000.sopsr.sk/lokality/uev/lokality-uev/?uev=SKUEV0324","Odkaz")</f>
        <v>Odkaz</v>
      </c>
      <c r="F305" s="44" t="str">
        <f>HYPERLINK("https://natura2000.sopsr.sk/wp-content/uploads/natura/legislativa/uev/ciele/SKUEV0324.docx","Spracované")</f>
        <v>Spracované</v>
      </c>
      <c r="G305" s="10" t="s">
        <v>10</v>
      </c>
      <c r="H305" s="10" t="s">
        <v>11</v>
      </c>
      <c r="I305" s="9" t="s">
        <v>55</v>
      </c>
      <c r="J305" s="10" t="s">
        <v>1401</v>
      </c>
      <c r="K305" s="38">
        <v>32</v>
      </c>
    </row>
    <row r="306" spans="1:11" x14ac:dyDescent="0.25">
      <c r="A306" s="6" t="s">
        <v>676</v>
      </c>
      <c r="B306" s="36" t="s">
        <v>677</v>
      </c>
      <c r="C306" s="7" t="str">
        <f>HYPERLINK("https://data.sopsr.sk/chranene-objekty/chranene-uzemia/detail/SKUEV0325","Medzianske skalky")</f>
        <v>Medzianske skalky</v>
      </c>
      <c r="D306" s="33">
        <v>9.5482999999999993</v>
      </c>
      <c r="E306" s="44" t="str">
        <f>HYPERLINK("https://natura2000.sopsr.sk/lokality/uev/lokality-uev/?uev=SKUEV0325","Odkaz")</f>
        <v>Odkaz</v>
      </c>
      <c r="F306" s="44" t="str">
        <f>HYPERLINK("https://natura2000.sopsr.sk/wp-content/uploads/natura/legislativa/uev/ciele/SKUEV0325.docx","Spracované")</f>
        <v>Spracované</v>
      </c>
      <c r="G306" s="10" t="s">
        <v>10</v>
      </c>
      <c r="H306" s="10" t="s">
        <v>11</v>
      </c>
      <c r="I306" s="9" t="s">
        <v>55</v>
      </c>
      <c r="J306" s="10" t="s">
        <v>1401</v>
      </c>
      <c r="K306" s="38">
        <v>45</v>
      </c>
    </row>
    <row r="307" spans="1:11" x14ac:dyDescent="0.25">
      <c r="A307" s="6" t="s">
        <v>678</v>
      </c>
      <c r="B307" s="36" t="s">
        <v>679</v>
      </c>
      <c r="C307" s="7" t="str">
        <f>HYPERLINK("https://data.sopsr.sk/chranene-objekty/chranene-uzemia/detail/SKUEV0326","Strahuľka")</f>
        <v>Strahuľka</v>
      </c>
      <c r="D307" s="33">
        <v>1176.6324</v>
      </c>
      <c r="E307" s="44" t="str">
        <f>HYPERLINK("https://natura2000.sopsr.sk/lokality/uev/lokality-uev/?uev=SKUEV0326","Odkaz")</f>
        <v>Odkaz</v>
      </c>
      <c r="F307" s="44" t="str">
        <f>HYPERLINK("https://natura2000.sopsr.sk/wp-content/uploads/natura/legislativa/uev/ciele/SKUEV0326.docx","Spracované")</f>
        <v>Spracované</v>
      </c>
      <c r="G307" s="10" t="s">
        <v>10</v>
      </c>
      <c r="H307" s="9" t="s">
        <v>91</v>
      </c>
      <c r="I307" s="10" t="s">
        <v>64</v>
      </c>
      <c r="J307" s="10" t="s">
        <v>1401</v>
      </c>
      <c r="K307" s="38">
        <v>1.42</v>
      </c>
    </row>
    <row r="308" spans="1:11" x14ac:dyDescent="0.25">
      <c r="A308" s="6" t="s">
        <v>680</v>
      </c>
      <c r="B308" s="36" t="s">
        <v>681</v>
      </c>
      <c r="C308" s="7" t="str">
        <f>HYPERLINK("https://data.sopsr.sk/chranene-objekty/chranene-uzemia/detail/SKUEV0327","Milič")</f>
        <v>Milič</v>
      </c>
      <c r="D308" s="33">
        <v>5113.0853999999999</v>
      </c>
      <c r="E308" s="44" t="str">
        <f>HYPERLINK("https://natura2000.sopsr.sk/lokality/uev/lokality-uev/?uev=SKUEV0327","Odkaz")</f>
        <v>Odkaz</v>
      </c>
      <c r="F308" s="44" t="str">
        <f>HYPERLINK("https://natura2000.sopsr.sk/wp-content/uploads/natura/legislativa/uev/ciele/SKUEV0327.docx","Spracované")</f>
        <v>Spracované</v>
      </c>
      <c r="G308" s="10" t="s">
        <v>10</v>
      </c>
      <c r="H308" s="9" t="s">
        <v>91</v>
      </c>
      <c r="I308" s="10" t="s">
        <v>64</v>
      </c>
      <c r="J308" s="10" t="s">
        <v>1401</v>
      </c>
      <c r="K308" s="38">
        <v>3.77</v>
      </c>
    </row>
    <row r="309" spans="1:11" x14ac:dyDescent="0.25">
      <c r="A309" s="6" t="s">
        <v>682</v>
      </c>
      <c r="B309" s="36" t="s">
        <v>683</v>
      </c>
      <c r="C309" s="7" t="str">
        <f>HYPERLINK("https://data.sopsr.sk/chranene-objekty/chranene-uzemia/detail/SKUEV0328","Stredné Pohornádie")</f>
        <v>Stredné Pohornádie</v>
      </c>
      <c r="D309" s="33">
        <v>7091.8226000000004</v>
      </c>
      <c r="E309" s="44" t="str">
        <f>HYPERLINK("https://natura2000.sopsr.sk/lokality/uev/lokality-uev/?uev=SKUEV0328","Odkaz")</f>
        <v>Odkaz</v>
      </c>
      <c r="F309" s="44" t="str">
        <f>HYPERLINK("https://natura2000.sopsr.sk/wp-content/uploads/natura/legislativa/uev/ciele/SKUEV0328.docx","Spracované")</f>
        <v>Spracované</v>
      </c>
      <c r="G309" s="10" t="s">
        <v>10</v>
      </c>
      <c r="H309" s="9" t="s">
        <v>11</v>
      </c>
      <c r="I309" s="10" t="s">
        <v>64</v>
      </c>
      <c r="J309" s="10" t="s">
        <v>1401</v>
      </c>
      <c r="K309" s="38">
        <v>8.36</v>
      </c>
    </row>
    <row r="310" spans="1:11" x14ac:dyDescent="0.25">
      <c r="A310" s="6" t="s">
        <v>684</v>
      </c>
      <c r="B310" s="36" t="s">
        <v>685</v>
      </c>
      <c r="C310" s="7" t="str">
        <f>HYPERLINK("https://data.sopsr.sk/chranene-objekty/chranene-uzemia/detail/SKUEV0329","Kováčske lúky")</f>
        <v>Kováčske lúky</v>
      </c>
      <c r="D310" s="33">
        <v>146.32509999999999</v>
      </c>
      <c r="E310" s="44" t="str">
        <f>HYPERLINK("https://natura2000.sopsr.sk/lokality/uev/lokality-uev/?uev=SKUEV0329","Odkaz")</f>
        <v>Odkaz</v>
      </c>
      <c r="F310" s="44" t="str">
        <f>HYPERLINK("https://natura2000.sopsr.sk/wp-content/uploads/natura/legislativa/uev/ciele/SKUEV0329.docx","Spracované")</f>
        <v>Spracované</v>
      </c>
      <c r="G310" s="10" t="s">
        <v>10</v>
      </c>
      <c r="H310" s="9" t="s">
        <v>20</v>
      </c>
      <c r="I310" s="10" t="s">
        <v>64</v>
      </c>
      <c r="J310" s="10" t="s">
        <v>22</v>
      </c>
      <c r="K310" s="38">
        <v>100</v>
      </c>
    </row>
    <row r="311" spans="1:11" x14ac:dyDescent="0.25">
      <c r="A311" s="6" t="s">
        <v>686</v>
      </c>
      <c r="B311" s="36" t="s">
        <v>687</v>
      </c>
      <c r="C311" s="7" t="str">
        <f>HYPERLINK("https://data.sopsr.sk/chranene-objekty/chranene-uzemia/detail/SKUEV0330","Dunitová skalka")</f>
        <v>Dunitová skalka</v>
      </c>
      <c r="D311" s="33">
        <v>3.1694</v>
      </c>
      <c r="E311" s="44" t="str">
        <f>HYPERLINK("https://natura2000.sopsr.sk/lokality/uev/lokality-uev/?uev=SKUEV0330","Odkaz")</f>
        <v>Odkaz</v>
      </c>
      <c r="F311" s="44" t="str">
        <f>HYPERLINK("https://natura2000.sopsr.sk/wp-content/uploads/natura/legislativa/uev/ciele/SKUEV0330.docx","Spracované")</f>
        <v>Spracované</v>
      </c>
      <c r="G311" s="10" t="s">
        <v>10</v>
      </c>
      <c r="H311" s="10" t="s">
        <v>11</v>
      </c>
      <c r="I311" s="9" t="s">
        <v>55</v>
      </c>
      <c r="J311" s="10" t="s">
        <v>1401</v>
      </c>
      <c r="K311" s="38">
        <v>11</v>
      </c>
    </row>
    <row r="312" spans="1:11" x14ac:dyDescent="0.25">
      <c r="A312" s="6" t="s">
        <v>688</v>
      </c>
      <c r="B312" s="36" t="s">
        <v>689</v>
      </c>
      <c r="C312" s="7" t="str">
        <f>HYPERLINK("https://data.sopsr.sk/chranene-objekty/chranene-uzemia/detail/SKUEV0331","Čergovský Minčol")</f>
        <v>Čergovský Minčol</v>
      </c>
      <c r="D312" s="33">
        <v>4262.652</v>
      </c>
      <c r="E312" s="44" t="str">
        <f>HYPERLINK("https://natura2000.sopsr.sk/lokality/uev/lokality-uev/?uev=SKUEV0331","Odkaz")</f>
        <v>Odkaz</v>
      </c>
      <c r="F312" s="44" t="str">
        <f>HYPERLINK("https://natura2000.sopsr.sk/wp-content/uploads/natura/legislativa/uev/ciele/SKUEV0331.docx","Spracované")</f>
        <v>Spracované</v>
      </c>
      <c r="G312" s="10" t="s">
        <v>10</v>
      </c>
      <c r="H312" s="10" t="s">
        <v>11</v>
      </c>
      <c r="I312" s="9" t="s">
        <v>55</v>
      </c>
      <c r="J312" s="10" t="s">
        <v>1401</v>
      </c>
      <c r="K312" s="38">
        <v>4.8</v>
      </c>
    </row>
    <row r="313" spans="1:11" x14ac:dyDescent="0.25">
      <c r="A313" s="6" t="s">
        <v>690</v>
      </c>
      <c r="B313" s="36" t="s">
        <v>691</v>
      </c>
      <c r="C313" s="7" t="str">
        <f>HYPERLINK("https://data.sopsr.sk/chranene-objekty/chranene-uzemia/detail/SKUEV0332","Čergov")</f>
        <v>Čergov</v>
      </c>
      <c r="D313" s="33">
        <v>6028.6198000000004</v>
      </c>
      <c r="E313" s="44" t="str">
        <f>HYPERLINK("https://natura2000.sopsr.sk/lokality/uev/lokality-uev/?uev=SKUEV0332","Odkaz")</f>
        <v>Odkaz</v>
      </c>
      <c r="F313" s="44" t="str">
        <f>HYPERLINK("https://natura2000.sopsr.sk/wp-content/uploads/natura/legislativa/uev/ciele/SKUEV0332.docx","Spracované")</f>
        <v>Spracované</v>
      </c>
      <c r="G313" s="10" t="s">
        <v>10</v>
      </c>
      <c r="H313" s="10" t="s">
        <v>11</v>
      </c>
      <c r="I313" s="9" t="s">
        <v>55</v>
      </c>
      <c r="J313" s="10" t="s">
        <v>1401</v>
      </c>
      <c r="K313" s="38">
        <v>0.75</v>
      </c>
    </row>
    <row r="314" spans="1:11" x14ac:dyDescent="0.25">
      <c r="A314" s="6" t="s">
        <v>692</v>
      </c>
      <c r="B314" s="36" t="s">
        <v>693</v>
      </c>
      <c r="C314" s="7" t="str">
        <f>HYPERLINK("https://data.sopsr.sk/chranene-objekty/chranene-uzemia/detail/SKUEV0333","Beliansky potok")</f>
        <v>Beliansky potok</v>
      </c>
      <c r="D314" s="33">
        <v>4.2840999999999996</v>
      </c>
      <c r="E314" s="44" t="str">
        <f>HYPERLINK("https://natura2000.sopsr.sk/lokality/uev/lokality-uev/?uev=SKUEV0333","Odkaz")</f>
        <v>Odkaz</v>
      </c>
      <c r="F314" s="44" t="str">
        <f>HYPERLINK("https://natura2000.sopsr.sk/wp-content/uploads/natura/legislativa/uev/ciele/SKUEV0333.docx","Spracované")</f>
        <v>Spracované</v>
      </c>
      <c r="G314" s="8" t="s">
        <v>23</v>
      </c>
      <c r="H314" s="9" t="s">
        <v>11</v>
      </c>
      <c r="I314" s="9" t="s">
        <v>55</v>
      </c>
      <c r="J314" s="10" t="s">
        <v>694</v>
      </c>
      <c r="K314" s="38">
        <v>100</v>
      </c>
    </row>
    <row r="315" spans="1:11" x14ac:dyDescent="0.25">
      <c r="A315" s="6" t="s">
        <v>695</v>
      </c>
      <c r="B315" s="36" t="s">
        <v>696</v>
      </c>
      <c r="C315" s="7" t="str">
        <f>HYPERLINK("https://data.sopsr.sk/chranene-objekty/chranene-uzemia/detail/SKUEV0334","Veľké osturnianske jazero")</f>
        <v>Veľké osturnianske jazero</v>
      </c>
      <c r="D315" s="33">
        <v>43.263399999999997</v>
      </c>
      <c r="E315" s="44" t="str">
        <f>HYPERLINK("https://natura2000.sopsr.sk/lokality/uev/lokality-uev/?uev=SKUEV0334","Odkaz")</f>
        <v>Odkaz</v>
      </c>
      <c r="F315" s="44" t="str">
        <f>HYPERLINK("https://natura2000.sopsr.sk/wp-content/uploads/natura/legislativa/uev/ciele/SKUEV0334.docx","Spracované")</f>
        <v>Spracované</v>
      </c>
      <c r="G315" s="8" t="s">
        <v>23</v>
      </c>
      <c r="H315" s="10" t="s">
        <v>11</v>
      </c>
      <c r="I315" s="9" t="s">
        <v>55</v>
      </c>
      <c r="J315" s="10" t="s">
        <v>694</v>
      </c>
      <c r="K315" s="38">
        <v>100</v>
      </c>
    </row>
    <row r="316" spans="1:11" x14ac:dyDescent="0.25">
      <c r="A316" s="6" t="s">
        <v>697</v>
      </c>
      <c r="B316" s="36" t="s">
        <v>698</v>
      </c>
      <c r="C316" s="7" t="str">
        <f>HYPERLINK("https://data.sopsr.sk/chranene-objekty/chranene-uzemia/detail/SKUEV0335","Malé osturnianske jazerá")</f>
        <v>Malé osturnianske jazerá</v>
      </c>
      <c r="D316" s="33">
        <v>6.2457000000000003</v>
      </c>
      <c r="E316" s="44" t="str">
        <f>HYPERLINK("https://natura2000.sopsr.sk/lokality/uev/lokality-uev/?uev=SKUEV0335","Odkaz")</f>
        <v>Odkaz</v>
      </c>
      <c r="F316" s="44" t="str">
        <f>HYPERLINK("https://natura2000.sopsr.sk/wp-content/uploads/natura/legislativa/uev/ciele/SKUEV0335.docx","Spracované")</f>
        <v>Spracované</v>
      </c>
      <c r="G316" s="8" t="s">
        <v>23</v>
      </c>
      <c r="H316" s="10" t="s">
        <v>11</v>
      </c>
      <c r="I316" s="9" t="s">
        <v>55</v>
      </c>
      <c r="J316" s="10" t="s">
        <v>694</v>
      </c>
      <c r="K316" s="38">
        <v>100</v>
      </c>
    </row>
    <row r="317" spans="1:11" x14ac:dyDescent="0.25">
      <c r="A317" s="6" t="s">
        <v>699</v>
      </c>
      <c r="B317" s="36" t="s">
        <v>700</v>
      </c>
      <c r="C317" s="7" t="str">
        <f>HYPERLINK("https://data.sopsr.sk/chranene-objekty/chranene-uzemia/detail/SKUEV0336","Torysa")</f>
        <v>Torysa</v>
      </c>
      <c r="D317" s="33">
        <v>18.249199999999998</v>
      </c>
      <c r="E317" s="44" t="str">
        <f>HYPERLINK("https://natura2000.sopsr.sk/lokality/uev/lokality-uev/?uev=SKUEV0336","Odkaz")</f>
        <v>Odkaz</v>
      </c>
      <c r="F317" s="44" t="str">
        <f>HYPERLINK("https://natura2000.sopsr.sk/wp-content/uploads/natura/legislativa/uev/ciele/SKUEV0336.docx","Spracované")</f>
        <v>Spracované</v>
      </c>
      <c r="G317" s="10" t="s">
        <v>10</v>
      </c>
      <c r="H317" s="10" t="s">
        <v>11</v>
      </c>
      <c r="I317" s="9" t="s">
        <v>55</v>
      </c>
      <c r="J317" s="10" t="s">
        <v>694</v>
      </c>
      <c r="K317" s="38">
        <v>0</v>
      </c>
    </row>
    <row r="318" spans="1:11" x14ac:dyDescent="0.25">
      <c r="A318" s="6" t="s">
        <v>701</v>
      </c>
      <c r="B318" s="36" t="s">
        <v>702</v>
      </c>
      <c r="C318" s="7" t="str">
        <f>HYPERLINK("https://data.sopsr.sk/chranene-objekty/chranene-uzemia/detail/SKUEV0337","Pieniny")</f>
        <v>Pieniny</v>
      </c>
      <c r="D318" s="33">
        <v>2638.0558000000001</v>
      </c>
      <c r="E318" s="44" t="str">
        <f>HYPERLINK("https://natura2000.sopsr.sk/lokality/uev/lokality-uev/?uev=SKUEV0337","Odkaz")</f>
        <v>Odkaz</v>
      </c>
      <c r="F318" s="44" t="str">
        <f>HYPERLINK("https://natura2000.sopsr.sk/wp-content/uploads/natura/legislativa/uev/ciele/SKUEV0337.docx","Spracované")</f>
        <v>Spracované</v>
      </c>
      <c r="G318" s="10" t="s">
        <v>10</v>
      </c>
      <c r="H318" s="10" t="s">
        <v>11</v>
      </c>
      <c r="I318" s="9" t="s">
        <v>55</v>
      </c>
      <c r="J318" s="10" t="s">
        <v>694</v>
      </c>
      <c r="K318" s="38">
        <v>100</v>
      </c>
    </row>
    <row r="319" spans="1:11" x14ac:dyDescent="0.25">
      <c r="A319" s="6" t="s">
        <v>703</v>
      </c>
      <c r="B319" s="36" t="s">
        <v>704</v>
      </c>
      <c r="C319" s="7" t="str">
        <f>HYPERLINK("https://data.sopsr.sk/chranene-objekty/chranene-uzemia/detail/SKUEV0338","Plavečské štrkoviská")</f>
        <v>Plavečské štrkoviská</v>
      </c>
      <c r="D319" s="33">
        <v>70.020099999999999</v>
      </c>
      <c r="E319" s="44" t="str">
        <f>HYPERLINK("https://natura2000.sopsr.sk/lokality/uev/lokality-uev/?uev=SKUEV0338","Odkaz")</f>
        <v>Odkaz</v>
      </c>
      <c r="F319" s="44" t="str">
        <f>HYPERLINK("https://natura2000.sopsr.sk/wp-content/uploads/natura/legislativa/uev/ciele/SKUEV0338.docx","Spracované")</f>
        <v>Spracované</v>
      </c>
      <c r="G319" s="10" t="s">
        <v>10</v>
      </c>
      <c r="H319" s="10" t="s">
        <v>11</v>
      </c>
      <c r="I319" s="9" t="s">
        <v>55</v>
      </c>
      <c r="J319" s="10" t="s">
        <v>694</v>
      </c>
      <c r="K319" s="38">
        <v>100</v>
      </c>
    </row>
    <row r="320" spans="1:11" x14ac:dyDescent="0.25">
      <c r="A320" s="6" t="s">
        <v>705</v>
      </c>
      <c r="B320" s="36" t="s">
        <v>706</v>
      </c>
      <c r="C320" s="7" t="str">
        <f>HYPERLINK("https://data.sopsr.sk/chranene-objekty/chranene-uzemia/detail/SKUEV0339","Pieninské bradlá")</f>
        <v>Pieninské bradlá</v>
      </c>
      <c r="D320" s="33">
        <v>84.948999999999998</v>
      </c>
      <c r="E320" s="44" t="str">
        <f>HYPERLINK("https://natura2000.sopsr.sk/lokality/uev/lokality-uev/?uev=SKUEV0339","Odkaz")</f>
        <v>Odkaz</v>
      </c>
      <c r="F320" s="44" t="str">
        <f>HYPERLINK("https://natura2000.sopsr.sk/wp-content/uploads/natura/legislativa/uev/ciele/SKUEV0339.docx","Spracované")</f>
        <v>Spracované</v>
      </c>
      <c r="G320" s="10" t="s">
        <v>10</v>
      </c>
      <c r="H320" s="9" t="s">
        <v>11</v>
      </c>
      <c r="I320" s="9" t="s">
        <v>55</v>
      </c>
      <c r="J320" s="10" t="s">
        <v>694</v>
      </c>
      <c r="K320" s="38">
        <v>0</v>
      </c>
    </row>
    <row r="321" spans="1:11" x14ac:dyDescent="0.25">
      <c r="A321" s="6" t="s">
        <v>707</v>
      </c>
      <c r="B321" s="36" t="s">
        <v>708</v>
      </c>
      <c r="C321" s="7" t="str">
        <f>HYPERLINK("https://data.sopsr.sk/chranene-objekty/chranene-uzemia/detail/SKUEV0340","Český závrt")</f>
        <v>Český závrt</v>
      </c>
      <c r="D321" s="33">
        <v>3.7854000000000001</v>
      </c>
      <c r="E321" s="44" t="str">
        <f>HYPERLINK("https://natura2000.sopsr.sk/lokality/uev/lokality-uev/?uev=SKUEV0340","Odkaz")</f>
        <v>Odkaz</v>
      </c>
      <c r="F321" s="44" t="str">
        <f>HYPERLINK("https://natura2000.sopsr.sk/wp-content/uploads/natura/legislativa/uev/ciele/SKUEV0340.docx","Spracované")</f>
        <v>Spracované</v>
      </c>
      <c r="G321" s="10" t="s">
        <v>10</v>
      </c>
      <c r="H321" s="9" t="s">
        <v>20</v>
      </c>
      <c r="I321" s="10" t="s">
        <v>64</v>
      </c>
      <c r="J321" s="10" t="s">
        <v>592</v>
      </c>
      <c r="K321" s="38">
        <v>100</v>
      </c>
    </row>
    <row r="322" spans="1:11" x14ac:dyDescent="0.25">
      <c r="A322" s="6" t="s">
        <v>709</v>
      </c>
      <c r="B322" s="36" t="s">
        <v>710</v>
      </c>
      <c r="C322" s="7" t="str">
        <f>HYPERLINK("https://data.sopsr.sk/chranene-objekty/chranene-uzemia/detail/SKUEV0341","Dolný vrch")</f>
        <v>Dolný vrch</v>
      </c>
      <c r="D322" s="33">
        <v>1931.9793</v>
      </c>
      <c r="E322" s="44" t="str">
        <f>HYPERLINK("https://natura2000.sopsr.sk/lokality/uev/lokality-uev/?uev=SKUEV0341","Odkaz")</f>
        <v>Odkaz</v>
      </c>
      <c r="F322" s="44" t="str">
        <f>HYPERLINK("https://natura2000.sopsr.sk/wp-content/uploads/natura/legislativa/uev/ciele/SKUEV0341.docx","Spracované")</f>
        <v>Spracované</v>
      </c>
      <c r="G322" s="10" t="s">
        <v>10</v>
      </c>
      <c r="H322" s="9" t="s">
        <v>20</v>
      </c>
      <c r="I322" s="10" t="s">
        <v>64</v>
      </c>
      <c r="J322" s="10" t="s">
        <v>592</v>
      </c>
      <c r="K322" s="38">
        <v>100</v>
      </c>
    </row>
    <row r="323" spans="1:11" x14ac:dyDescent="0.25">
      <c r="A323" s="6" t="s">
        <v>711</v>
      </c>
      <c r="B323" s="36" t="s">
        <v>712</v>
      </c>
      <c r="C323" s="7" t="str">
        <f>HYPERLINK("https://data.sopsr.sk/chranene-objekty/chranene-uzemia/detail/SKUEV0342","Drieňovec")</f>
        <v>Drieňovec</v>
      </c>
      <c r="D323" s="33">
        <v>238.11850000000001</v>
      </c>
      <c r="E323" s="44" t="str">
        <f>HYPERLINK("https://natura2000.sopsr.sk/lokality/uev/lokality-uev/?uev=SKUEV0342","Odkaz")</f>
        <v>Odkaz</v>
      </c>
      <c r="F323" s="44" t="str">
        <f>HYPERLINK("https://natura2000.sopsr.sk/wp-content/uploads/natura/legislativa/uev/ciele/SKUEV0342.docx","Spracované")</f>
        <v>Spracované</v>
      </c>
      <c r="G323" s="10" t="s">
        <v>10</v>
      </c>
      <c r="H323" s="10" t="s">
        <v>11</v>
      </c>
      <c r="I323" s="10" t="s">
        <v>64</v>
      </c>
      <c r="J323" s="10" t="s">
        <v>592</v>
      </c>
      <c r="K323" s="38">
        <v>100</v>
      </c>
    </row>
    <row r="324" spans="1:11" x14ac:dyDescent="0.25">
      <c r="A324" s="6" t="s">
        <v>713</v>
      </c>
      <c r="B324" s="36" t="s">
        <v>714</v>
      </c>
      <c r="C324" s="7" t="str">
        <f>HYPERLINK("https://data.sopsr.sk/chranene-objekty/chranene-uzemia/detail/SKUEV0343","Plešivské stráne")</f>
        <v>Plešivské stráne</v>
      </c>
      <c r="D324" s="33">
        <v>411.81150000000002</v>
      </c>
      <c r="E324" s="44" t="str">
        <f>HYPERLINK("https://natura2000.sopsr.sk/lokality/uev/lokality-uev/?uev=SKUEV0343","Odkaz")</f>
        <v>Odkaz</v>
      </c>
      <c r="F324" s="44" t="str">
        <f>HYPERLINK("https://natura2000.sopsr.sk/wp-content/uploads/natura/legislativa/uev/ciele/SKUEV0343.docx","Spracované")</f>
        <v>Spracované</v>
      </c>
      <c r="G324" s="10" t="s">
        <v>10</v>
      </c>
      <c r="H324" s="10" t="s">
        <v>11</v>
      </c>
      <c r="I324" s="10" t="s">
        <v>64</v>
      </c>
      <c r="J324" s="10" t="s">
        <v>592</v>
      </c>
      <c r="K324" s="38">
        <v>100</v>
      </c>
    </row>
    <row r="325" spans="1:11" x14ac:dyDescent="0.25">
      <c r="A325" s="6" t="s">
        <v>715</v>
      </c>
      <c r="B325" s="36" t="s">
        <v>716</v>
      </c>
      <c r="C325" s="7" t="str">
        <f>HYPERLINK("https://data.sopsr.sk/chranene-objekty/chranene-uzemia/detail/SKUEV0344","Starovodské jedliny")</f>
        <v>Starovodské jedliny</v>
      </c>
      <c r="D325" s="33">
        <v>470.46129999999999</v>
      </c>
      <c r="E325" s="44" t="str">
        <f>HYPERLINK("https://natura2000.sopsr.sk/lokality/uev/lokality-uev/?uev=SKUEV0344","Odkaz")</f>
        <v>Odkaz</v>
      </c>
      <c r="F325" s="44" t="str">
        <f>HYPERLINK("https://natura2000.sopsr.sk/wp-content/uploads/natura/legislativa/uev/ciele/SKUEV0344.docx","Spracované")</f>
        <v>Spracované</v>
      </c>
      <c r="G325" s="10" t="s">
        <v>10</v>
      </c>
      <c r="H325" s="10" t="s">
        <v>11</v>
      </c>
      <c r="I325" s="10" t="s">
        <v>64</v>
      </c>
      <c r="J325" s="10" t="s">
        <v>231</v>
      </c>
      <c r="K325" s="38">
        <v>0</v>
      </c>
    </row>
    <row r="326" spans="1:11" x14ac:dyDescent="0.25">
      <c r="A326" s="6" t="s">
        <v>717</v>
      </c>
      <c r="B326" s="36" t="s">
        <v>718</v>
      </c>
      <c r="C326" s="7" t="str">
        <f>HYPERLINK("https://data.sopsr.sk/chranene-objekty/chranene-uzemia/detail/SKUEV0345","Kečovské škrapy")</f>
        <v>Kečovské škrapy</v>
      </c>
      <c r="D326" s="33">
        <v>538.36080000000004</v>
      </c>
      <c r="E326" s="44" t="str">
        <f>HYPERLINK("https://natura2000.sopsr.sk/lokality/uev/lokality-uev/?uev=SKUEV0345","Odkaz")</f>
        <v>Odkaz</v>
      </c>
      <c r="F326" s="44" t="str">
        <f>HYPERLINK("https://natura2000.sopsr.sk/wp-content/uploads/natura/legislativa/uev/ciele/SKUEV0345.docx","Spracované")</f>
        <v>Spracované</v>
      </c>
      <c r="G326" s="10" t="s">
        <v>10</v>
      </c>
      <c r="H326" s="9" t="s">
        <v>20</v>
      </c>
      <c r="I326" s="10" t="s">
        <v>64</v>
      </c>
      <c r="J326" s="10" t="s">
        <v>592</v>
      </c>
      <c r="K326" s="38">
        <v>100</v>
      </c>
    </row>
    <row r="327" spans="1:11" x14ac:dyDescent="0.25">
      <c r="A327" s="6" t="s">
        <v>719</v>
      </c>
      <c r="B327" s="36" t="s">
        <v>720</v>
      </c>
      <c r="C327" s="7" t="str">
        <f>HYPERLINK("https://data.sopsr.sk/chranene-objekty/chranene-uzemia/detail/SKUEV0346","Pod Strážnym hrebeňom")</f>
        <v>Pod Strážnym hrebeňom</v>
      </c>
      <c r="D327" s="33">
        <v>175.07570000000001</v>
      </c>
      <c r="E327" s="44" t="str">
        <f>HYPERLINK("https://natura2000.sopsr.sk/lokality/uev/lokality-uev/?uev=SKUEV0346","Odkaz")</f>
        <v>Odkaz</v>
      </c>
      <c r="F327" s="44" t="str">
        <f>HYPERLINK("https://natura2000.sopsr.sk/wp-content/uploads/natura/legislativa/uev/ciele/SKUEV0346.docx","Spracované")</f>
        <v>Spracované</v>
      </c>
      <c r="G327" s="10" t="s">
        <v>10</v>
      </c>
      <c r="H327" s="10" t="s">
        <v>11</v>
      </c>
      <c r="I327" s="10" t="s">
        <v>64</v>
      </c>
      <c r="J327" s="10" t="s">
        <v>592</v>
      </c>
      <c r="K327" s="38">
        <v>100</v>
      </c>
    </row>
    <row r="328" spans="1:11" x14ac:dyDescent="0.25">
      <c r="A328" s="6" t="s">
        <v>721</v>
      </c>
      <c r="B328" s="36" t="s">
        <v>722</v>
      </c>
      <c r="C328" s="7" t="str">
        <f>HYPERLINK("https://data.sopsr.sk/chranene-objekty/chranene-uzemia/detail/SKUEV0347","Domické škrapy")</f>
        <v>Domické škrapy</v>
      </c>
      <c r="D328" s="33">
        <v>111.18819999999999</v>
      </c>
      <c r="E328" s="44" t="str">
        <f>HYPERLINK("https://natura2000.sopsr.sk/lokality/uev/lokality-uev/?uev=SKUEV0347","Odkaz")</f>
        <v>Odkaz</v>
      </c>
      <c r="F328" s="44" t="str">
        <f>HYPERLINK("https://natura2000.sopsr.sk/wp-content/uploads/natura/legislativa/uev/ciele/SKUEV0347.docx","Spracované")</f>
        <v>Spracované</v>
      </c>
      <c r="G328" s="10" t="s">
        <v>10</v>
      </c>
      <c r="H328" s="9" t="s">
        <v>20</v>
      </c>
      <c r="I328" s="10" t="s">
        <v>64</v>
      </c>
      <c r="J328" s="10" t="s">
        <v>592</v>
      </c>
      <c r="K328" s="38">
        <v>100</v>
      </c>
    </row>
    <row r="329" spans="1:11" x14ac:dyDescent="0.25">
      <c r="A329" s="6" t="s">
        <v>723</v>
      </c>
      <c r="B329" s="36" t="s">
        <v>724</v>
      </c>
      <c r="C329" s="7" t="str">
        <f>HYPERLINK("https://data.sopsr.sk/chranene-objekty/chranene-uzemia/detail/SKUEV0348","Čierna Moldava")</f>
        <v>Čierna Moldava</v>
      </c>
      <c r="D329" s="33">
        <v>1893.1332</v>
      </c>
      <c r="E329" s="44" t="str">
        <f>HYPERLINK("https://natura2000.sopsr.sk/lokality/uev/lokality-uev/?uev=SKUEV0348","Odkaz")</f>
        <v>Odkaz</v>
      </c>
      <c r="F329" s="44" t="str">
        <f>HYPERLINK("https://natura2000.sopsr.sk/wp-content/uploads/natura/legislativa/uev/ciele/SKUEV0348.docx","Spracované")</f>
        <v>Spracované</v>
      </c>
      <c r="G329" s="10" t="s">
        <v>10</v>
      </c>
      <c r="H329" s="10" t="s">
        <v>11</v>
      </c>
      <c r="I329" s="10" t="s">
        <v>64</v>
      </c>
      <c r="J329" s="10" t="s">
        <v>592</v>
      </c>
      <c r="K329" s="38">
        <v>100</v>
      </c>
    </row>
    <row r="330" spans="1:11" x14ac:dyDescent="0.25">
      <c r="A330" s="6" t="s">
        <v>725</v>
      </c>
      <c r="B330" s="36" t="s">
        <v>726</v>
      </c>
      <c r="C330" s="7" t="str">
        <f>HYPERLINK("https://data.sopsr.sk/chranene-objekty/chranene-uzemia/detail/SKUEV0349","Jasovské dubiny")</f>
        <v>Jasovské dubiny</v>
      </c>
      <c r="D330" s="33">
        <v>35.6616</v>
      </c>
      <c r="E330" s="44" t="str">
        <f>HYPERLINK("https://natura2000.sopsr.sk/lokality/uev/lokality-uev/?uev=SKUEV0349","Odkaz")</f>
        <v>Odkaz</v>
      </c>
      <c r="F330" s="44" t="str">
        <f>HYPERLINK("https://natura2000.sopsr.sk/wp-content/uploads/natura/legislativa/uev/ciele/SKUEV0349.docx","Spracované")</f>
        <v>Spracované</v>
      </c>
      <c r="G330" s="8" t="s">
        <v>23</v>
      </c>
      <c r="H330" s="10" t="s">
        <v>11</v>
      </c>
      <c r="I330" s="10" t="s">
        <v>64</v>
      </c>
      <c r="J330" s="10" t="s">
        <v>592</v>
      </c>
      <c r="K330" s="38">
        <v>100</v>
      </c>
    </row>
    <row r="331" spans="1:11" x14ac:dyDescent="0.25">
      <c r="A331" s="6" t="s">
        <v>727</v>
      </c>
      <c r="B331" s="36" t="s">
        <v>728</v>
      </c>
      <c r="C331" s="7" t="str">
        <f>HYPERLINK("https://data.sopsr.sk/chranene-objekty/chranene-uzemia/detail/SKUEV0350","Brzotínske skaly")</f>
        <v>Brzotínske skaly</v>
      </c>
      <c r="D331" s="33">
        <v>435.35289999999998</v>
      </c>
      <c r="E331" s="44" t="str">
        <f>HYPERLINK("https://natura2000.sopsr.sk/lokality/uev/lokality-uev/?uev=SKUEV0350","Odkaz")</f>
        <v>Odkaz</v>
      </c>
      <c r="F331" s="44" t="str">
        <f>HYPERLINK("https://natura2000.sopsr.sk/wp-content/uploads/natura/legislativa/uev/ciele/SKUEV0350.docx","Spracované")</f>
        <v>Spracované</v>
      </c>
      <c r="G331" s="8" t="s">
        <v>23</v>
      </c>
      <c r="H331" s="10" t="s">
        <v>11</v>
      </c>
      <c r="I331" s="10" t="s">
        <v>64</v>
      </c>
      <c r="J331" s="10" t="s">
        <v>592</v>
      </c>
      <c r="K331" s="38">
        <v>100</v>
      </c>
    </row>
    <row r="332" spans="1:11" x14ac:dyDescent="0.25">
      <c r="A332" s="6" t="s">
        <v>729</v>
      </c>
      <c r="B332" s="36" t="s">
        <v>730</v>
      </c>
      <c r="C332" s="7" t="str">
        <f>HYPERLINK("https://data.sopsr.sk/chranene-objekty/chranene-uzemia/detail/SKUEV0351","Folkmarská skala")</f>
        <v>Folkmarská skala</v>
      </c>
      <c r="D332" s="33">
        <v>138.47280000000001</v>
      </c>
      <c r="E332" s="44" t="str">
        <f>HYPERLINK("https://natura2000.sopsr.sk/lokality/uev/lokality-uev/?uev=SKUEV0351","Odkaz")</f>
        <v>Odkaz</v>
      </c>
      <c r="F332" s="44" t="str">
        <f>HYPERLINK("https://natura2000.sopsr.sk/wp-content/uploads/natura/legislativa/uev/ciele/SKUEV0351.docx","Spracované")</f>
        <v>Spracované</v>
      </c>
      <c r="G332" s="10" t="s">
        <v>10</v>
      </c>
      <c r="H332" s="9" t="s">
        <v>11</v>
      </c>
      <c r="I332" s="10" t="s">
        <v>64</v>
      </c>
      <c r="J332" s="10" t="s">
        <v>231</v>
      </c>
      <c r="K332" s="38">
        <v>0</v>
      </c>
    </row>
    <row r="333" spans="1:11" x14ac:dyDescent="0.25">
      <c r="A333" s="6" t="s">
        <v>731</v>
      </c>
      <c r="B333" s="36" t="s">
        <v>732</v>
      </c>
      <c r="C333" s="7" t="str">
        <f>HYPERLINK("https://data.sopsr.sk/chranene-objekty/chranene-uzemia/detail/SKUEV0352","Hrušovská lesostep")</f>
        <v>Hrušovská lesostep</v>
      </c>
      <c r="D333" s="33">
        <v>40.755600000000001</v>
      </c>
      <c r="E333" s="44" t="str">
        <f>HYPERLINK("https://natura2000.sopsr.sk/lokality/uev/lokality-uev/?uev=SKUEV0352","Odkaz")</f>
        <v>Odkaz</v>
      </c>
      <c r="F333" s="44" t="str">
        <f>HYPERLINK("https://natura2000.sopsr.sk/wp-content/uploads/natura/legislativa/uev/ciele/SKUEV0352.docx","Spracované")</f>
        <v>Spracované</v>
      </c>
      <c r="G333" s="8" t="s">
        <v>23</v>
      </c>
      <c r="H333" s="9" t="s">
        <v>20</v>
      </c>
      <c r="I333" s="10" t="s">
        <v>64</v>
      </c>
      <c r="J333" s="10" t="s">
        <v>592</v>
      </c>
      <c r="K333" s="38">
        <v>100</v>
      </c>
    </row>
    <row r="334" spans="1:11" x14ac:dyDescent="0.25">
      <c r="A334" s="6" t="s">
        <v>733</v>
      </c>
      <c r="B334" s="36" t="s">
        <v>734</v>
      </c>
      <c r="C334" s="7" t="str">
        <f>HYPERLINK("https://data.sopsr.sk/chranene-objekty/chranene-uzemia/detail/SKUEV0353","Plešivská planina")</f>
        <v>Plešivská planina</v>
      </c>
      <c r="D334" s="33">
        <v>3022.0410000000002</v>
      </c>
      <c r="E334" s="44" t="str">
        <f>HYPERLINK("https://natura2000.sopsr.sk/lokality/uev/lokality-uev/?uev=SKUEV0353","Odkaz")</f>
        <v>Odkaz</v>
      </c>
      <c r="F334" s="44" t="str">
        <f>HYPERLINK("https://natura2000.sopsr.sk/wp-content/uploads/natura/legislativa/uev/ciele/SKUEV0353.docx","Spracované")</f>
        <v>Spracované</v>
      </c>
      <c r="G334" s="10" t="s">
        <v>10</v>
      </c>
      <c r="H334" s="10" t="s">
        <v>11</v>
      </c>
      <c r="I334" s="10" t="s">
        <v>64</v>
      </c>
      <c r="J334" s="10" t="s">
        <v>592</v>
      </c>
      <c r="K334" s="38">
        <v>100</v>
      </c>
    </row>
    <row r="335" spans="1:11" x14ac:dyDescent="0.25">
      <c r="A335" s="6" t="s">
        <v>735</v>
      </c>
      <c r="B335" s="36" t="s">
        <v>736</v>
      </c>
      <c r="C335" s="7" t="str">
        <f>HYPERLINK("https://data.sopsr.sk/chranene-objekty/chranene-uzemia/detail/SKUEV0354","Hnilecké rašeliniská")</f>
        <v>Hnilecké rašeliniská</v>
      </c>
      <c r="D335" s="33">
        <v>56.952300000000001</v>
      </c>
      <c r="E335" s="44" t="str">
        <f>HYPERLINK("https://natura2000.sopsr.sk/lokality/uev/lokality-uev/?uev=SKUEV0354","Odkaz")</f>
        <v>Odkaz</v>
      </c>
      <c r="F335" s="44" t="str">
        <f>HYPERLINK("https://natura2000.sopsr.sk/wp-content/uploads/natura/legislativa/uev/ciele/SKUEV0354.docx","Spracované")</f>
        <v>Spracované</v>
      </c>
      <c r="G335" s="10" t="s">
        <v>10</v>
      </c>
      <c r="H335" s="10" t="s">
        <v>11</v>
      </c>
      <c r="I335" s="10" t="s">
        <v>64</v>
      </c>
      <c r="J335" s="10" t="s">
        <v>231</v>
      </c>
      <c r="K335" s="38">
        <v>35</v>
      </c>
    </row>
    <row r="336" spans="1:11" x14ac:dyDescent="0.25">
      <c r="A336" s="6" t="s">
        <v>737</v>
      </c>
      <c r="B336" s="36" t="s">
        <v>738</v>
      </c>
      <c r="C336" s="7" t="str">
        <f>HYPERLINK("https://data.sopsr.sk/chranene-objekty/chranene-uzemia/detail/SKUEV0355","Fabiánka")</f>
        <v>Fabiánka</v>
      </c>
      <c r="D336" s="33">
        <v>1337.8939</v>
      </c>
      <c r="E336" s="44" t="str">
        <f>HYPERLINK("https://natura2000.sopsr.sk/lokality/uev/lokality-uev/?uev=SKUEV0355","Odkaz")</f>
        <v>Odkaz</v>
      </c>
      <c r="F336" s="44" t="str">
        <f>HYPERLINK("https://natura2000.sopsr.sk/wp-content/uploads/natura/legislativa/uev/ciele/SKUEV0355.docx","Spracované")</f>
        <v>Spracované</v>
      </c>
      <c r="G336" s="10" t="s">
        <v>10</v>
      </c>
      <c r="H336" s="9" t="s">
        <v>20</v>
      </c>
      <c r="I336" s="10" t="s">
        <v>64</v>
      </c>
      <c r="J336" s="10" t="s">
        <v>592</v>
      </c>
      <c r="K336" s="38">
        <v>100</v>
      </c>
    </row>
    <row r="337" spans="1:11" x14ac:dyDescent="0.25">
      <c r="A337" s="6" t="s">
        <v>739</v>
      </c>
      <c r="B337" s="36" t="s">
        <v>740</v>
      </c>
      <c r="C337" s="7" t="str">
        <f>HYPERLINK("https://data.sopsr.sk/chranene-objekty/chranene-uzemia/detail/SKUEV0356","Horný vrch")</f>
        <v>Horný vrch</v>
      </c>
      <c r="D337" s="33">
        <v>6320.8226999999997</v>
      </c>
      <c r="E337" s="44" t="str">
        <f>HYPERLINK("https://natura2000.sopsr.sk/lokality/uev/lokality-uev/?uev=SKUEV0356","Odkaz")</f>
        <v>Odkaz</v>
      </c>
      <c r="F337" s="44" t="str">
        <f>HYPERLINK("https://natura2000.sopsr.sk/wp-content/uploads/natura/legislativa/uev/ciele/SKUEV0356.docx","Spracované")</f>
        <v>Spracované</v>
      </c>
      <c r="G337" s="10" t="s">
        <v>10</v>
      </c>
      <c r="H337" s="9" t="s">
        <v>91</v>
      </c>
      <c r="I337" s="10" t="s">
        <v>64</v>
      </c>
      <c r="J337" s="10" t="s">
        <v>592</v>
      </c>
      <c r="K337" s="38">
        <v>100</v>
      </c>
    </row>
    <row r="338" spans="1:11" x14ac:dyDescent="0.25">
      <c r="A338" s="6" t="s">
        <v>741</v>
      </c>
      <c r="B338" s="36" t="s">
        <v>742</v>
      </c>
      <c r="C338" s="7" t="str">
        <f>HYPERLINK("https://data.sopsr.sk/chranene-objekty/chranene-uzemia/detail/SKUEV0357","Cerová vrchovina")</f>
        <v>Cerová vrchovina</v>
      </c>
      <c r="D338" s="33">
        <v>3621.9929000000002</v>
      </c>
      <c r="E338" s="44" t="str">
        <f>HYPERLINK("https://natura2000.sopsr.sk/lokality/uev/lokality-uev/?uev=SKUEV0357","Odkaz")</f>
        <v>Odkaz</v>
      </c>
      <c r="F338" s="44" t="str">
        <f>HYPERLINK("https://natura2000.sopsr.sk/wp-content/uploads/natura/legislativa/uev/ciele/SKUEV0357.docx","Spracované")</f>
        <v>Spracované</v>
      </c>
      <c r="G338" s="10" t="s">
        <v>10</v>
      </c>
      <c r="H338" s="9" t="s">
        <v>20</v>
      </c>
      <c r="I338" s="9" t="s">
        <v>61</v>
      </c>
      <c r="J338" s="9" t="s">
        <v>999</v>
      </c>
      <c r="K338" s="38">
        <v>100</v>
      </c>
    </row>
    <row r="339" spans="1:11" x14ac:dyDescent="0.25">
      <c r="A339" s="6" t="s">
        <v>743</v>
      </c>
      <c r="B339" s="36" t="s">
        <v>744</v>
      </c>
      <c r="C339" s="7" t="str">
        <f>HYPERLINK("https://data.sopsr.sk/chranene-objekty/chranene-uzemia/detail/SKUEV0358","Soví hrad")</f>
        <v>Soví hrad</v>
      </c>
      <c r="D339" s="33">
        <v>43.469900000000003</v>
      </c>
      <c r="E339" s="44" t="str">
        <f>HYPERLINK("https://natura2000.sopsr.sk/lokality/uev/lokality-uev/?uev=SKUEV0358","Odkaz")</f>
        <v>Odkaz</v>
      </c>
      <c r="F339" s="44" t="str">
        <f>HYPERLINK("https://natura2000.sopsr.sk/wp-content/uploads/natura/legislativa/uev/ciele/SKUEV0358.docx","Spracované")</f>
        <v>Spracované</v>
      </c>
      <c r="G339" s="10" t="s">
        <v>10</v>
      </c>
      <c r="H339" s="9" t="s">
        <v>20</v>
      </c>
      <c r="I339" s="9" t="s">
        <v>61</v>
      </c>
      <c r="J339" s="9" t="s">
        <v>999</v>
      </c>
      <c r="K339" s="38">
        <v>100</v>
      </c>
    </row>
    <row r="340" spans="1:11" x14ac:dyDescent="0.25">
      <c r="A340" s="6" t="s">
        <v>745</v>
      </c>
      <c r="B340" s="36" t="s">
        <v>746</v>
      </c>
      <c r="C340" s="7" t="str">
        <f>HYPERLINK("https://data.sopsr.sk/chranene-objekty/chranene-uzemia/detail/SKUEV0359","Dechtárske vinice")</f>
        <v>Dechtárske vinice</v>
      </c>
      <c r="D340" s="33">
        <v>57.482300000000002</v>
      </c>
      <c r="E340" s="44" t="str">
        <f>HYPERLINK("https://natura2000.sopsr.sk/lokality/uev/lokality-uev/?uev=SKUEV0359","Odkaz")</f>
        <v>Odkaz</v>
      </c>
      <c r="F340" s="44" t="str">
        <f>HYPERLINK("https://natura2000.sopsr.sk/wp-content/uploads/natura/legislativa/uev/ciele/SKUEV0359.docx","Spracované")</f>
        <v>Spracované</v>
      </c>
      <c r="G340" s="10" t="s">
        <v>10</v>
      </c>
      <c r="H340" s="9" t="s">
        <v>20</v>
      </c>
      <c r="I340" s="9" t="s">
        <v>61</v>
      </c>
      <c r="J340" s="9" t="s">
        <v>999</v>
      </c>
      <c r="K340" s="38">
        <v>100</v>
      </c>
    </row>
    <row r="341" spans="1:11" x14ac:dyDescent="0.25">
      <c r="A341" s="6" t="s">
        <v>747</v>
      </c>
      <c r="B341" s="36" t="s">
        <v>748</v>
      </c>
      <c r="C341" s="7" t="str">
        <f>HYPERLINK("https://data.sopsr.sk/chranene-objekty/chranene-uzemia/detail/SKUEV0360","Beležír")</f>
        <v>Beležír</v>
      </c>
      <c r="D341" s="33">
        <v>61.797199999999997</v>
      </c>
      <c r="E341" s="44" t="str">
        <f>HYPERLINK("https://natura2000.sopsr.sk/lokality/uev/lokality-uev/?uev=SKUEV0360","Odkaz")</f>
        <v>Odkaz</v>
      </c>
      <c r="F341" s="44" t="str">
        <f>HYPERLINK("https://natura2000.sopsr.sk/wp-content/uploads/natura/legislativa/uev/ciele/SKUEV0360.docx","Spracované")</f>
        <v>Spracované</v>
      </c>
      <c r="G341" s="10" t="s">
        <v>10</v>
      </c>
      <c r="H341" s="9" t="s">
        <v>20</v>
      </c>
      <c r="I341" s="9" t="s">
        <v>61</v>
      </c>
      <c r="J341" s="9" t="s">
        <v>999</v>
      </c>
      <c r="K341" s="38">
        <v>100</v>
      </c>
    </row>
    <row r="342" spans="1:11" x14ac:dyDescent="0.25">
      <c r="A342" s="6" t="s">
        <v>749</v>
      </c>
      <c r="B342" s="36" t="s">
        <v>750</v>
      </c>
      <c r="C342" s="7" t="str">
        <f>HYPERLINK("https://data.sopsr.sk/chranene-objekty/chranene-uzemia/detail/SKUEV0361","Vodokáš")</f>
        <v>Vodokáš</v>
      </c>
      <c r="D342" s="33">
        <v>137.28819999999999</v>
      </c>
      <c r="E342" s="44" t="str">
        <f>HYPERLINK("https://natura2000.sopsr.sk/lokality/uev/lokality-uev/?uev=SKUEV0361","Odkaz")</f>
        <v>Odkaz</v>
      </c>
      <c r="F342" s="44" t="str">
        <f>HYPERLINK("https://natura2000.sopsr.sk/wp-content/uploads/natura/legislativa/uev/ciele/SKUEV0361.docx","Spracované")</f>
        <v>Spracované</v>
      </c>
      <c r="G342" s="10" t="s">
        <v>10</v>
      </c>
      <c r="H342" s="9" t="s">
        <v>20</v>
      </c>
      <c r="I342" s="9" t="s">
        <v>61</v>
      </c>
      <c r="J342" s="9" t="s">
        <v>999</v>
      </c>
      <c r="K342" s="38">
        <v>100</v>
      </c>
    </row>
    <row r="343" spans="1:11" x14ac:dyDescent="0.25">
      <c r="A343" s="6" t="s">
        <v>751</v>
      </c>
      <c r="B343" s="36" t="s">
        <v>752</v>
      </c>
      <c r="C343" s="7" t="str">
        <f>HYPERLINK("https://data.sopsr.sk/chranene-objekty/chranene-uzemia/detail/SKUEV0362","Pieskovcové chrbty")</f>
        <v>Pieskovcové chrbty</v>
      </c>
      <c r="D343" s="33">
        <v>359.73419999999999</v>
      </c>
      <c r="E343" s="44" t="str">
        <f>HYPERLINK("https://natura2000.sopsr.sk/lokality/uev/lokality-uev/?uev=SKUEV0362","Odkaz")</f>
        <v>Odkaz</v>
      </c>
      <c r="F343" s="44" t="str">
        <f>HYPERLINK("https://natura2000.sopsr.sk/wp-content/uploads/natura/legislativa/uev/ciele/SKUEV0362.docx","Spracované")</f>
        <v>Spracované</v>
      </c>
      <c r="G343" s="10" t="s">
        <v>10</v>
      </c>
      <c r="H343" s="9" t="s">
        <v>20</v>
      </c>
      <c r="I343" s="9" t="s">
        <v>61</v>
      </c>
      <c r="J343" s="9" t="s">
        <v>999</v>
      </c>
      <c r="K343" s="38">
        <v>100</v>
      </c>
    </row>
    <row r="344" spans="1:11" x14ac:dyDescent="0.25">
      <c r="A344" s="6" t="s">
        <v>753</v>
      </c>
      <c r="B344" s="36" t="s">
        <v>754</v>
      </c>
      <c r="C344" s="7" t="str">
        <f>HYPERLINK("https://data.sopsr.sk/chranene-objekty/chranene-uzemia/detail/SKUEV0363","Ťahan")</f>
        <v>Ťahan</v>
      </c>
      <c r="D344" s="33">
        <v>310.79969999999997</v>
      </c>
      <c r="E344" s="44" t="str">
        <f>HYPERLINK("https://natura2000.sopsr.sk/lokality/uev/lokality-uev/?uev=SKUEV0363","Odkaz")</f>
        <v>Odkaz</v>
      </c>
      <c r="F344" s="44" t="str">
        <f>HYPERLINK("https://natura2000.sopsr.sk/wp-content/uploads/natura/legislativa/uev/ciele/SKUEV0363.docx","Spracované")</f>
        <v>Spracované</v>
      </c>
      <c r="G344" s="8" t="s">
        <v>23</v>
      </c>
      <c r="H344" s="9" t="s">
        <v>20</v>
      </c>
      <c r="I344" s="9" t="s">
        <v>61</v>
      </c>
      <c r="J344" s="9" t="s">
        <v>999</v>
      </c>
      <c r="K344" s="38">
        <v>100</v>
      </c>
    </row>
    <row r="345" spans="1:11" x14ac:dyDescent="0.25">
      <c r="A345" s="6" t="s">
        <v>755</v>
      </c>
      <c r="B345" s="36" t="s">
        <v>756</v>
      </c>
      <c r="C345" s="7" t="str">
        <f>HYPERLINK("https://data.sopsr.sk/chranene-objekty/chranene-uzemia/detail/SKUEV0364","Pokoradzské jazierka")</f>
        <v>Pokoradzské jazierka</v>
      </c>
      <c r="D345" s="33">
        <v>64.447800000000001</v>
      </c>
      <c r="E345" s="44" t="str">
        <f>HYPERLINK("https://natura2000.sopsr.sk/lokality/uev/lokality-uev/?uev=SKUEV0364","Odkaz")</f>
        <v>Odkaz</v>
      </c>
      <c r="F345" s="44" t="str">
        <f>HYPERLINK("https://natura2000.sopsr.sk/wp-content/uploads/natura/legislativa/uev/ciele/SKUEV0364.docx","Spracované")</f>
        <v>Spracované</v>
      </c>
      <c r="G345" s="10" t="s">
        <v>10</v>
      </c>
      <c r="H345" s="10" t="s">
        <v>11</v>
      </c>
      <c r="I345" s="9" t="s">
        <v>61</v>
      </c>
      <c r="J345" s="9" t="s">
        <v>999</v>
      </c>
      <c r="K345" s="38">
        <v>100</v>
      </c>
    </row>
    <row r="346" spans="1:11" x14ac:dyDescent="0.25">
      <c r="A346" s="6" t="s">
        <v>757</v>
      </c>
      <c r="B346" s="36" t="s">
        <v>758</v>
      </c>
      <c r="C346" s="7" t="str">
        <f>HYPERLINK("https://data.sopsr.sk/chranene-objekty/chranene-uzemia/detail/SKUEV0365","Dálovský močiar")</f>
        <v>Dálovský močiar</v>
      </c>
      <c r="D346" s="33">
        <v>82.204300000000003</v>
      </c>
      <c r="E346" s="44" t="str">
        <f>HYPERLINK("https://natura2000.sopsr.sk/lokality/uev/lokality-uev/?uev=SKUEV0365","Odkaz")</f>
        <v>Odkaz</v>
      </c>
      <c r="F346" s="44" t="str">
        <f>HYPERLINK("https://natura2000.sopsr.sk/wp-content/uploads/natura/legislativa/uev/ciele/SKUEV0365.docx","Spracované")</f>
        <v>Spracované</v>
      </c>
      <c r="G346" s="8" t="s">
        <v>23</v>
      </c>
      <c r="H346" s="9" t="s">
        <v>20</v>
      </c>
      <c r="I346" s="9" t="s">
        <v>61</v>
      </c>
      <c r="J346" s="9" t="s">
        <v>999</v>
      </c>
      <c r="K346" s="38">
        <v>100</v>
      </c>
    </row>
    <row r="347" spans="1:11" x14ac:dyDescent="0.25">
      <c r="A347" s="6" t="s">
        <v>759</v>
      </c>
      <c r="B347" s="36" t="s">
        <v>760</v>
      </c>
      <c r="C347" s="7" t="str">
        <f>HYPERLINK("https://data.sopsr.sk/chranene-objekty/chranene-uzemia/detail/SKUEV0366","Drienčanský kras")</f>
        <v>Drienčanský kras</v>
      </c>
      <c r="D347" s="33">
        <v>2920.9180999999999</v>
      </c>
      <c r="E347" s="44" t="str">
        <f>HYPERLINK("https://natura2000.sopsr.sk/lokality/uev/lokality-uev/?uev=SKUEV0366","Odkaz")</f>
        <v>Odkaz</v>
      </c>
      <c r="F347" s="44" t="str">
        <f>HYPERLINK("https://natura2000.sopsr.sk/wp-content/uploads/natura/legislativa/uev/ciele/SKUEV0366.docx","Spracované")</f>
        <v>Spracované</v>
      </c>
      <c r="G347" s="10" t="s">
        <v>10</v>
      </c>
      <c r="H347" s="9" t="s">
        <v>11</v>
      </c>
      <c r="I347" s="9" t="s">
        <v>61</v>
      </c>
      <c r="J347" s="9" t="s">
        <v>999</v>
      </c>
      <c r="K347" s="38">
        <v>0.1</v>
      </c>
    </row>
    <row r="348" spans="1:11" x14ac:dyDescent="0.25">
      <c r="A348" s="6" t="s">
        <v>761</v>
      </c>
      <c r="B348" s="36" t="s">
        <v>762</v>
      </c>
      <c r="C348" s="7" t="str">
        <f>HYPERLINK("https://data.sopsr.sk/chranene-objekty/chranene-uzemia/detail/SKUEV0367","Holubyho kopanice")</f>
        <v>Holubyho kopanice</v>
      </c>
      <c r="D348" s="33">
        <v>4461.1487999999999</v>
      </c>
      <c r="E348" s="44" t="str">
        <f>HYPERLINK("https://natura2000.sopsr.sk/lokality/uev/lokality-uev/?uev=SKUEV0367","Odkaz")</f>
        <v>Odkaz</v>
      </c>
      <c r="F348" s="44" t="str">
        <f>HYPERLINK("https://natura2000.sopsr.sk/wp-content/uploads/natura/legislativa/uev/ciele/SKUEV0367.docx","Spracované")</f>
        <v>Spracované</v>
      </c>
      <c r="G348" s="10" t="s">
        <v>10</v>
      </c>
      <c r="H348" s="9" t="s">
        <v>11</v>
      </c>
      <c r="I348" s="9" t="s">
        <v>222</v>
      </c>
      <c r="J348" s="10" t="s">
        <v>319</v>
      </c>
      <c r="K348" s="38">
        <v>100</v>
      </c>
    </row>
    <row r="349" spans="1:11" ht="24" customHeight="1" x14ac:dyDescent="0.25">
      <c r="A349" s="6" t="s">
        <v>763</v>
      </c>
      <c r="B349" s="36" t="s">
        <v>764</v>
      </c>
      <c r="C349" s="7" t="str">
        <f>HYPERLINK("https://data.sopsr.sk/chranene-objekty/chranene-uzemia/detail/SKUEV0368","Brezovská dolina")</f>
        <v>Brezovská dolina</v>
      </c>
      <c r="D349" s="33">
        <v>3.6724000000000001</v>
      </c>
      <c r="E349" s="44" t="str">
        <f>HYPERLINK("https://natura2000.sopsr.sk/lokality/uev/lokality-uev/?uev=SKUEV0368","Odkaz")</f>
        <v>Odkaz</v>
      </c>
      <c r="F349" s="44" t="str">
        <f>HYPERLINK("https://natura2000.sopsr.sk/wp-content/uploads/natura/legislativa/uev/ciele/SKUEV0368.docx","Spracované")</f>
        <v>Spracované</v>
      </c>
      <c r="G349" s="8" t="s">
        <v>23</v>
      </c>
      <c r="H349" s="9" t="s">
        <v>11</v>
      </c>
      <c r="I349" s="9" t="s">
        <v>222</v>
      </c>
      <c r="J349" s="10" t="s">
        <v>319</v>
      </c>
      <c r="K349" s="38">
        <v>100</v>
      </c>
    </row>
    <row r="350" spans="1:11" x14ac:dyDescent="0.25">
      <c r="A350" s="6" t="s">
        <v>765</v>
      </c>
      <c r="B350" s="36" t="s">
        <v>766</v>
      </c>
      <c r="C350" s="7" t="str">
        <f>HYPERLINK("https://data.sopsr.sk/chranene-objekty/chranene-uzemia/detail/SKUEV0369","Pavúkov jarok")</f>
        <v>Pavúkov jarok</v>
      </c>
      <c r="D350" s="33">
        <v>22.5321</v>
      </c>
      <c r="E350" s="44" t="str">
        <f>HYPERLINK("https://natura2000.sopsr.sk/lokality/uev/lokality-uev/?uev=SKUEV0369","Odkaz")</f>
        <v>Odkaz</v>
      </c>
      <c r="F350" s="44" t="str">
        <f>HYPERLINK("https://natura2000.sopsr.sk/wp-content/uploads/natura/legislativa/uev/ciele/SKUEV0369.docx","Spracované")</f>
        <v>Spracované</v>
      </c>
      <c r="G350" s="8" t="s">
        <v>23</v>
      </c>
      <c r="H350" s="9" t="s">
        <v>11</v>
      </c>
      <c r="I350" s="9" t="s">
        <v>222</v>
      </c>
      <c r="J350" s="10" t="s">
        <v>319</v>
      </c>
      <c r="K350" s="38">
        <v>100</v>
      </c>
    </row>
    <row r="351" spans="1:11" x14ac:dyDescent="0.25">
      <c r="A351" s="6" t="s">
        <v>767</v>
      </c>
      <c r="B351" s="36" t="s">
        <v>768</v>
      </c>
      <c r="C351" s="7" t="str">
        <f>HYPERLINK("https://data.sopsr.sk/chranene-objekty/chranene-uzemia/detail/SKUEV0371","Žalostiná")</f>
        <v>Žalostiná</v>
      </c>
      <c r="D351" s="33">
        <v>375.73829999999998</v>
      </c>
      <c r="E351" s="44" t="str">
        <f>HYPERLINK("https://natura2000.sopsr.sk/lokality/uev/lokality-uev/?uev=SKUEV0371","Odkaz")</f>
        <v>Odkaz</v>
      </c>
      <c r="F351" s="44" t="str">
        <f>HYPERLINK("https://natura2000.sopsr.sk/wp-content/uploads/natura/legislativa/uev/ciele/SKUEV0371.docx","Spracované")</f>
        <v>Spracované</v>
      </c>
      <c r="G351" s="10" t="s">
        <v>10</v>
      </c>
      <c r="H351" s="9" t="s">
        <v>11</v>
      </c>
      <c r="I351" s="9" t="s">
        <v>222</v>
      </c>
      <c r="J351" s="10" t="s">
        <v>319</v>
      </c>
      <c r="K351" s="38">
        <v>100</v>
      </c>
    </row>
    <row r="352" spans="1:11" x14ac:dyDescent="0.25">
      <c r="A352" s="6" t="s">
        <v>769</v>
      </c>
      <c r="B352" s="36" t="s">
        <v>770</v>
      </c>
      <c r="C352" s="7" t="str">
        <f>HYPERLINK("https://data.sopsr.sk/chranene-objekty/chranene-uzemia/detail/SKUEV0372","Krivoklátske lúky")</f>
        <v>Krivoklátske lúky</v>
      </c>
      <c r="D352" s="33">
        <v>50.629399999999997</v>
      </c>
      <c r="E352" s="44" t="str">
        <f>HYPERLINK("https://natura2000.sopsr.sk/lokality/uev/lokality-uev/?uev=SKUEV0372","Odkaz")</f>
        <v>Odkaz</v>
      </c>
      <c r="F352" s="44" t="str">
        <f>HYPERLINK("https://natura2000.sopsr.sk/wp-content/uploads/natura/legislativa/uev/ciele/SKUEV0372.docx","Spracované")</f>
        <v>Spracované</v>
      </c>
      <c r="G352" s="8" t="s">
        <v>23</v>
      </c>
      <c r="H352" s="9" t="s">
        <v>11</v>
      </c>
      <c r="I352" s="9" t="s">
        <v>222</v>
      </c>
      <c r="J352" s="10" t="s">
        <v>319</v>
      </c>
      <c r="K352" s="38">
        <v>100</v>
      </c>
    </row>
    <row r="353" spans="1:11" x14ac:dyDescent="0.25">
      <c r="A353" s="6" t="s">
        <v>771</v>
      </c>
      <c r="B353" s="36" t="s">
        <v>772</v>
      </c>
      <c r="C353" s="7" t="str">
        <f>HYPERLINK("https://data.sopsr.sk/chranene-objekty/chranene-uzemia/detail/SKUEV0373","Krivoklátske bradlá")</f>
        <v>Krivoklátske bradlá</v>
      </c>
      <c r="D353" s="33">
        <v>64.502499999999998</v>
      </c>
      <c r="E353" s="44" t="str">
        <f>HYPERLINK("https://natura2000.sopsr.sk/lokality/uev/lokality-uev/?uev=SKUEV0373","Odkaz")</f>
        <v>Odkaz</v>
      </c>
      <c r="F353" s="44" t="str">
        <f>HYPERLINK("https://natura2000.sopsr.sk/wp-content/uploads/natura/legislativa/uev/ciele/SKUEV0373.docx","Spracované")</f>
        <v>Spracované</v>
      </c>
      <c r="G353" s="10" t="s">
        <v>10</v>
      </c>
      <c r="H353" s="9" t="s">
        <v>11</v>
      </c>
      <c r="I353" s="9" t="s">
        <v>222</v>
      </c>
      <c r="J353" s="10" t="s">
        <v>319</v>
      </c>
      <c r="K353" s="38">
        <v>100</v>
      </c>
    </row>
    <row r="354" spans="1:11" x14ac:dyDescent="0.25">
      <c r="A354" s="6" t="s">
        <v>773</v>
      </c>
      <c r="B354" s="36" t="s">
        <v>774</v>
      </c>
      <c r="C354" s="7" t="str">
        <f>HYPERLINK("https://data.sopsr.sk/chranene-objekty/chranene-uzemia/detail/SKUEV0374","Záhradská")</f>
        <v>Záhradská</v>
      </c>
      <c r="D354" s="33">
        <v>8.7302</v>
      </c>
      <c r="E354" s="44" t="str">
        <f>HYPERLINK("https://natura2000.sopsr.sk/lokality/uev/lokality-uev/?uev=SKUEV0374","Odkaz")</f>
        <v>Odkaz</v>
      </c>
      <c r="F354" s="44" t="str">
        <f>HYPERLINK("https://natura2000.sopsr.sk/wp-content/uploads/natura/legislativa/uev/ciele/SKUEV0374.docx","Spracované")</f>
        <v>Spracované</v>
      </c>
      <c r="G354" s="45" t="s">
        <v>23</v>
      </c>
      <c r="H354" s="9" t="s">
        <v>11</v>
      </c>
      <c r="I354" s="9" t="s">
        <v>222</v>
      </c>
      <c r="J354" s="10" t="s">
        <v>319</v>
      </c>
      <c r="K354" s="38">
        <v>100</v>
      </c>
    </row>
    <row r="355" spans="1:11" x14ac:dyDescent="0.25">
      <c r="A355" s="6" t="s">
        <v>775</v>
      </c>
      <c r="B355" s="36" t="s">
        <v>776</v>
      </c>
      <c r="C355" s="7" t="str">
        <f>HYPERLINK("https://data.sopsr.sk/chranene-objekty/chranene-uzemia/detail/SKUEV0375","Krasín")</f>
        <v>Krasín</v>
      </c>
      <c r="D355" s="33">
        <v>407.87580000000003</v>
      </c>
      <c r="E355" s="44" t="str">
        <f>HYPERLINK("https://natura2000.sopsr.sk/lokality/uev/lokality-uev/?uev=SKUEV0375","Odkaz")</f>
        <v>Odkaz</v>
      </c>
      <c r="F355" s="44" t="str">
        <f>HYPERLINK("https://natura2000.sopsr.sk/wp-content/uploads/natura/legislativa/uev/ciele/SKUEV0375.docx","Spracované")</f>
        <v>Spracované</v>
      </c>
      <c r="G355" s="10" t="s">
        <v>10</v>
      </c>
      <c r="H355" s="9" t="s">
        <v>11</v>
      </c>
      <c r="I355" s="9" t="s">
        <v>222</v>
      </c>
      <c r="J355" s="10" t="s">
        <v>319</v>
      </c>
      <c r="K355" s="38">
        <v>100</v>
      </c>
    </row>
    <row r="356" spans="1:11" x14ac:dyDescent="0.25">
      <c r="A356" s="6" t="s">
        <v>777</v>
      </c>
      <c r="B356" s="36" t="s">
        <v>778</v>
      </c>
      <c r="C356" s="7" t="str">
        <f>HYPERLINK("https://data.sopsr.sk/chranene-objekty/chranene-uzemia/detail/SKUEV0376","Vršatské bradlá")</f>
        <v>Vršatské bradlá</v>
      </c>
      <c r="D356" s="33">
        <v>335.06330000000003</v>
      </c>
      <c r="E356" s="44" t="str">
        <f>HYPERLINK("https://natura2000.sopsr.sk/lokality/uev/lokality-uev/?uev=SKUEV0376","Odkaz")</f>
        <v>Odkaz</v>
      </c>
      <c r="F356" s="44" t="str">
        <f>HYPERLINK("https://natura2000.sopsr.sk/wp-content/uploads/natura/legislativa/uev/ciele/SKUEV0376.docx","Spracované")</f>
        <v>Spracované</v>
      </c>
      <c r="G356" s="10" t="s">
        <v>10</v>
      </c>
      <c r="H356" s="9" t="s">
        <v>11</v>
      </c>
      <c r="I356" s="9" t="s">
        <v>222</v>
      </c>
      <c r="J356" s="10" t="s">
        <v>319</v>
      </c>
      <c r="K356" s="38">
        <v>100</v>
      </c>
    </row>
    <row r="357" spans="1:11" x14ac:dyDescent="0.25">
      <c r="A357" s="6" t="s">
        <v>779</v>
      </c>
      <c r="B357" s="36" t="s">
        <v>780</v>
      </c>
      <c r="C357" s="7" t="str">
        <f>HYPERLINK("https://data.sopsr.sk/chranene-objekty/chranene-uzemia/detail/SKUEV0377","Lukovský vrch")</f>
        <v>Lukovský vrch</v>
      </c>
      <c r="D357" s="33">
        <v>217.39080000000001</v>
      </c>
      <c r="E357" s="44" t="str">
        <f>HYPERLINK("https://natura2000.sopsr.sk/lokality/uev/lokality-uev/?uev=SKUEV0377","Odkaz")</f>
        <v>Odkaz</v>
      </c>
      <c r="F357" s="44" t="str">
        <f>HYPERLINK("https://natura2000.sopsr.sk/wp-content/uploads/natura/legislativa/uev/ciele/SKUEV0377.docx","Spracované")</f>
        <v>Spracované</v>
      </c>
      <c r="G357" s="10" t="s">
        <v>10</v>
      </c>
      <c r="H357" s="9" t="s">
        <v>11</v>
      </c>
      <c r="I357" s="9" t="s">
        <v>222</v>
      </c>
      <c r="J357" s="10" t="s">
        <v>319</v>
      </c>
      <c r="K357" s="38">
        <v>100</v>
      </c>
    </row>
    <row r="358" spans="1:11" x14ac:dyDescent="0.25">
      <c r="A358" s="6" t="s">
        <v>781</v>
      </c>
      <c r="B358" s="36" t="s">
        <v>782</v>
      </c>
      <c r="C358" s="7" t="str">
        <f>HYPERLINK("https://data.sopsr.sk/chranene-objekty/chranene-uzemia/detail/SKUEV0378","Nebrová")</f>
        <v>Nebrová</v>
      </c>
      <c r="D358" s="33">
        <v>27.788399999999999</v>
      </c>
      <c r="E358" s="44" t="str">
        <f>HYPERLINK("https://natura2000.sopsr.sk/lokality/uev/lokality-uev/?uev=SKUEV0378","Odkaz")</f>
        <v>Odkaz</v>
      </c>
      <c r="F358" s="44" t="str">
        <f>HYPERLINK("https://natura2000.sopsr.sk/wp-content/uploads/natura/legislativa/uev/ciele/SKUEV0378.docx","Spracované")</f>
        <v>Spracované</v>
      </c>
      <c r="G358" s="10" t="s">
        <v>10</v>
      </c>
      <c r="H358" s="10" t="s">
        <v>11</v>
      </c>
      <c r="I358" s="9" t="s">
        <v>222</v>
      </c>
      <c r="J358" s="10" t="s">
        <v>319</v>
      </c>
      <c r="K358" s="38">
        <v>100</v>
      </c>
    </row>
    <row r="359" spans="1:11" x14ac:dyDescent="0.25">
      <c r="A359" s="6" t="s">
        <v>783</v>
      </c>
      <c r="B359" s="36" t="s">
        <v>784</v>
      </c>
      <c r="C359" s="7" t="str">
        <f>HYPERLINK("https://data.sopsr.sk/chranene-objekty/chranene-uzemia/detail/SKUEV0379","Kobela")</f>
        <v>Kobela</v>
      </c>
      <c r="D359" s="33">
        <v>5.9949000000000003</v>
      </c>
      <c r="E359" s="44" t="str">
        <f>HYPERLINK("https://natura2000.sopsr.sk/lokality/uev/lokality-uev/?uev=SKUEV0379","Odkaz")</f>
        <v>Odkaz</v>
      </c>
      <c r="F359" s="44" t="str">
        <f>HYPERLINK("https://natura2000.sopsr.sk/wp-content/uploads/natura/legislativa/uev/ciele/SKUEV0379.docx","Spracované")</f>
        <v>Spracované</v>
      </c>
      <c r="G359" s="8" t="s">
        <v>23</v>
      </c>
      <c r="H359" s="10" t="s">
        <v>11</v>
      </c>
      <c r="I359" s="9" t="s">
        <v>222</v>
      </c>
      <c r="J359" s="10" t="s">
        <v>319</v>
      </c>
      <c r="K359" s="38">
        <v>100</v>
      </c>
    </row>
    <row r="360" spans="1:11" x14ac:dyDescent="0.25">
      <c r="A360" s="6" t="s">
        <v>785</v>
      </c>
      <c r="B360" s="36" t="s">
        <v>786</v>
      </c>
      <c r="C360" s="7" t="str">
        <f>HYPERLINK("https://data.sopsr.sk/chranene-objekty/chranene-uzemia/detail/SKUEV0380","Tematínske vrchy")</f>
        <v>Tematínske vrchy</v>
      </c>
      <c r="D360" s="33">
        <v>2582.4625000000001</v>
      </c>
      <c r="E360" s="44" t="str">
        <f>HYPERLINK("https://natura2000.sopsr.sk/lokality/uev/lokality-uev/?uev=SKUEV0380","Odkaz")</f>
        <v>Odkaz</v>
      </c>
      <c r="F360" s="44" t="str">
        <f>HYPERLINK("https://natura2000.sopsr.sk/wp-content/uploads/natura/legislativa/uev/ciele/SKUEV0380.docx","Spracované")</f>
        <v>Spracované</v>
      </c>
      <c r="G360" s="10" t="s">
        <v>10</v>
      </c>
      <c r="H360" s="10" t="s">
        <v>11</v>
      </c>
      <c r="I360" s="9" t="s">
        <v>222</v>
      </c>
      <c r="J360" s="10" t="s">
        <v>319</v>
      </c>
      <c r="K360" s="38">
        <v>9</v>
      </c>
    </row>
    <row r="361" spans="1:11" x14ac:dyDescent="0.25">
      <c r="A361" s="6" t="s">
        <v>787</v>
      </c>
      <c r="B361" s="36" t="s">
        <v>788</v>
      </c>
      <c r="C361" s="7" t="str">
        <f>HYPERLINK("https://data.sopsr.sk/chranene-objekty/chranene-uzemia/detail/SKUEV0381","Dielnice")</f>
        <v>Dielnice</v>
      </c>
      <c r="D361" s="33">
        <v>105.0035</v>
      </c>
      <c r="E361" s="44" t="str">
        <f>HYPERLINK("https://natura2000.sopsr.sk/lokality/uev/lokality-uev/?uev=SKUEV0381","Odkaz")</f>
        <v>Odkaz</v>
      </c>
      <c r="F361" s="44" t="str">
        <f>HYPERLINK("https://natura2000.sopsr.sk/wp-content/uploads/natura/legislativa/uev/ciele/SKUEV0381.docx","Spracované")</f>
        <v>Spracované</v>
      </c>
      <c r="G361" s="10" t="s">
        <v>10</v>
      </c>
      <c r="H361" s="9" t="s">
        <v>11</v>
      </c>
      <c r="I361" s="9" t="s">
        <v>127</v>
      </c>
      <c r="J361" s="16" t="s">
        <v>316</v>
      </c>
      <c r="K361" s="38">
        <v>0</v>
      </c>
    </row>
    <row r="362" spans="1:11" x14ac:dyDescent="0.25">
      <c r="A362" s="6" t="s">
        <v>789</v>
      </c>
      <c r="B362" s="36" t="s">
        <v>790</v>
      </c>
      <c r="C362" s="7" t="str">
        <f>HYPERLINK("https://data.sopsr.sk/chranene-objekty/chranene-uzemia/detail/SKUEV0382","Turiec a Blatnický potok")</f>
        <v>Turiec a Blatnický potok</v>
      </c>
      <c r="D362" s="33">
        <v>263.8091</v>
      </c>
      <c r="E362" s="44" t="str">
        <f>HYPERLINK("https://natura2000.sopsr.sk/lokality/uev/lokality-uev/?uev=SKUEV0382","Odkaz")</f>
        <v>Odkaz</v>
      </c>
      <c r="F362" s="44" t="str">
        <f>HYPERLINK("https://natura2000.sopsr.sk/wp-content/uploads/natura/legislativa/uev/ciele/SKUEV0382.docx","Spracované")</f>
        <v>Spracované</v>
      </c>
      <c r="G362" s="15" t="s">
        <v>10</v>
      </c>
      <c r="H362" s="10" t="s">
        <v>11</v>
      </c>
      <c r="I362" s="9" t="s">
        <v>127</v>
      </c>
      <c r="J362" s="16" t="s">
        <v>316</v>
      </c>
      <c r="K362" s="38">
        <v>97</v>
      </c>
    </row>
    <row r="363" spans="1:11" x14ac:dyDescent="0.25">
      <c r="A363" s="6" t="s">
        <v>791</v>
      </c>
      <c r="B363" s="36" t="s">
        <v>792</v>
      </c>
      <c r="C363" s="7" t="str">
        <f>HYPERLINK("https://data.sopsr.sk/chranene-objekty/chranene-uzemia/detail/SKUEV0383","Ponická dúbrava")</f>
        <v>Ponická dúbrava</v>
      </c>
      <c r="D363" s="33">
        <v>13.182399999999999</v>
      </c>
      <c r="E363" s="44" t="str">
        <f>HYPERLINK("https://natura2000.sopsr.sk/lokality/uev/lokality-uev/?uev=SKUEV0383","Odkaz")</f>
        <v>Odkaz</v>
      </c>
      <c r="F363" s="44" t="str">
        <f>HYPERLINK("https://natura2000.sopsr.sk/wp-content/uploads/natura/legislativa/uev/ciele/SKUEV0383.docx","Spracované")</f>
        <v>Spracované</v>
      </c>
      <c r="G363" s="8" t="s">
        <v>23</v>
      </c>
      <c r="H363" s="10" t="s">
        <v>11</v>
      </c>
      <c r="I363" s="9" t="s">
        <v>61</v>
      </c>
      <c r="J363" s="16" t="s">
        <v>34</v>
      </c>
      <c r="K363" s="38">
        <v>100</v>
      </c>
    </row>
    <row r="364" spans="1:11" x14ac:dyDescent="0.25">
      <c r="A364" s="6" t="s">
        <v>793</v>
      </c>
      <c r="B364" s="36" t="s">
        <v>794</v>
      </c>
      <c r="C364" s="7" t="str">
        <f>HYPERLINK("https://data.sopsr.sk/chranene-objekty/chranene-uzemia/detail/SKUEV0384","Klenovské Blatá")</f>
        <v>Klenovské Blatá</v>
      </c>
      <c r="D364" s="33">
        <v>4.5528000000000004</v>
      </c>
      <c r="E364" s="44" t="str">
        <f>HYPERLINK("https://natura2000.sopsr.sk/lokality/uev/lokality-uev/?uev=SKUEV0384","Odkaz")</f>
        <v>Odkaz</v>
      </c>
      <c r="F364" s="44" t="str">
        <f>HYPERLINK("https://natura2000.sopsr.sk/wp-content/uploads/natura/legislativa/uev/ciele/SKUEV0384.docx","Spracované")</f>
        <v>Spracované</v>
      </c>
      <c r="G364" s="10" t="s">
        <v>10</v>
      </c>
      <c r="H364" s="10" t="s">
        <v>11</v>
      </c>
      <c r="I364" s="9" t="s">
        <v>61</v>
      </c>
      <c r="J364" s="16" t="s">
        <v>34</v>
      </c>
      <c r="K364" s="38">
        <v>100</v>
      </c>
    </row>
    <row r="365" spans="1:11" x14ac:dyDescent="0.25">
      <c r="A365" s="6" t="s">
        <v>795</v>
      </c>
      <c r="B365" s="36" t="s">
        <v>796</v>
      </c>
      <c r="C365" s="7" t="str">
        <f>HYPERLINK("https://data.sopsr.sk/chranene-objekty/chranene-uzemia/detail/SKUEV0385","Pliškov")</f>
        <v>Pliškov</v>
      </c>
      <c r="D365" s="33">
        <v>45.694499999999998</v>
      </c>
      <c r="E365" s="44" t="str">
        <f>HYPERLINK("https://natura2000.sopsr.sk/lokality/uev/lokality-uev/?uev=SKUEV0385","Odkaz")</f>
        <v>Odkaz</v>
      </c>
      <c r="F365" s="44" t="str">
        <f>HYPERLINK("https://natura2000.sopsr.sk/wp-content/uploads/natura/legislativa/uev/ciele/SKUEV0385.docx","Spracované")</f>
        <v>Spracované</v>
      </c>
      <c r="G365" s="10" t="s">
        <v>10</v>
      </c>
      <c r="H365" s="10" t="s">
        <v>11</v>
      </c>
      <c r="I365" s="9" t="s">
        <v>55</v>
      </c>
      <c r="J365" s="10" t="s">
        <v>27</v>
      </c>
      <c r="K365" s="38">
        <v>100</v>
      </c>
    </row>
    <row r="366" spans="1:11" x14ac:dyDescent="0.25">
      <c r="A366" s="6" t="s">
        <v>797</v>
      </c>
      <c r="B366" s="36" t="s">
        <v>798</v>
      </c>
      <c r="C366" s="7" t="str">
        <f>HYPERLINK("https://data.sopsr.sk/chranene-objekty/chranene-uzemia/detail/SKUEV0386","Hostovické lúky")</f>
        <v>Hostovické lúky</v>
      </c>
      <c r="D366" s="33">
        <v>15.0657</v>
      </c>
      <c r="E366" s="44" t="str">
        <f>HYPERLINK("https://natura2000.sopsr.sk/lokality/uev/lokality-uev/?uev=SKUEV0386","Odkaz")</f>
        <v>Odkaz</v>
      </c>
      <c r="F366" s="44" t="str">
        <f>HYPERLINK("https://natura2000.sopsr.sk/wp-content/uploads/natura/legislativa/uev/ciele/SKUEV0386.docx","Spracované")</f>
        <v>Spracované</v>
      </c>
      <c r="G366" s="10" t="s">
        <v>10</v>
      </c>
      <c r="H366" s="10" t="s">
        <v>11</v>
      </c>
      <c r="I366" s="9" t="s">
        <v>55</v>
      </c>
      <c r="J366" s="10" t="s">
        <v>27</v>
      </c>
      <c r="K366" s="38">
        <v>100</v>
      </c>
    </row>
    <row r="367" spans="1:11" x14ac:dyDescent="0.25">
      <c r="A367" s="6" t="s">
        <v>799</v>
      </c>
      <c r="B367" s="36" t="s">
        <v>800</v>
      </c>
      <c r="C367" s="7" t="str">
        <f>HYPERLINK("https://data.sopsr.sk/chranene-objekty/chranene-uzemia/detail/SKUEV0387","Beskyd")</f>
        <v>Beskyd</v>
      </c>
      <c r="D367" s="33">
        <v>5462.1863999999996</v>
      </c>
      <c r="E367" s="44" t="str">
        <f>HYPERLINK("https://natura2000.sopsr.sk/lokality/uev/lokality-uev/?uev=SKUEV0387","Odkaz")</f>
        <v>Odkaz</v>
      </c>
      <c r="F367" s="44" t="str">
        <f>HYPERLINK("https://natura2000.sopsr.sk/wp-content/uploads/natura/legislativa/uev/ciele/SKUEV0387.docx","Spracované")</f>
        <v>Spracované</v>
      </c>
      <c r="G367" s="10" t="s">
        <v>10</v>
      </c>
      <c r="H367" s="10" t="s">
        <v>11</v>
      </c>
      <c r="I367" s="9" t="s">
        <v>55</v>
      </c>
      <c r="J367" s="10" t="s">
        <v>27</v>
      </c>
      <c r="K367" s="38">
        <v>100</v>
      </c>
    </row>
    <row r="368" spans="1:11" x14ac:dyDescent="0.25">
      <c r="A368" s="6" t="s">
        <v>801</v>
      </c>
      <c r="B368" s="36" t="s">
        <v>802</v>
      </c>
      <c r="C368" s="7" t="str">
        <f>HYPERLINK("https://data.sopsr.sk/chranene-objekty/chranene-uzemia/detail/SKUEV0388","Vydrica")</f>
        <v>Vydrica</v>
      </c>
      <c r="D368" s="33">
        <v>27.6938</v>
      </c>
      <c r="E368" s="44" t="str">
        <f>HYPERLINK("https://natura2000.sopsr.sk/lokality/uev/lokality-uev/?uev=SKUEV0388","Odkaz")</f>
        <v>Odkaz</v>
      </c>
      <c r="F368" s="44" t="str">
        <f>HYPERLINK("https://natura2000.sopsr.sk/wp-content/uploads/natura/legislativa/uev/ciele/SKUEV0388.docx","Spracované")</f>
        <v>Spracované</v>
      </c>
      <c r="G368" s="10" t="s">
        <v>10</v>
      </c>
      <c r="H368" s="10" t="s">
        <v>11</v>
      </c>
      <c r="I368" s="10" t="s">
        <v>146</v>
      </c>
      <c r="J368" s="10" t="s">
        <v>225</v>
      </c>
      <c r="K368" s="38">
        <v>100</v>
      </c>
    </row>
    <row r="369" spans="1:11" x14ac:dyDescent="0.25">
      <c r="A369" s="6" t="s">
        <v>803</v>
      </c>
      <c r="B369" s="36" t="s">
        <v>804</v>
      </c>
      <c r="C369" s="7" t="str">
        <f>HYPERLINK("https://data.sopsr.sk/chranene-objekty/chranene-uzemia/detail/SKUEV0390","Pusté pole")</f>
        <v>Pusté pole</v>
      </c>
      <c r="D369" s="33">
        <v>90.349199999999996</v>
      </c>
      <c r="E369" s="44" t="str">
        <f>HYPERLINK("https://natura2000.sopsr.sk/lokality/uev/lokality-uev/?uev=SKUEV0390","Odkaz")</f>
        <v>Odkaz</v>
      </c>
      <c r="F369" s="44" t="str">
        <f>HYPERLINK("https://natura2000.sopsr.sk/wp-content/uploads/natura/legislativa/uev/ciele/SKUEV0390.docx","Spracované")</f>
        <v>Spracované</v>
      </c>
      <c r="G369" s="10" t="s">
        <v>10</v>
      </c>
      <c r="H369" s="9" t="s">
        <v>11</v>
      </c>
      <c r="I369" s="9" t="s">
        <v>55</v>
      </c>
      <c r="J369" s="10" t="s">
        <v>1401</v>
      </c>
      <c r="K369" s="38">
        <v>7</v>
      </c>
    </row>
    <row r="370" spans="1:11" x14ac:dyDescent="0.25">
      <c r="A370" s="6" t="s">
        <v>805</v>
      </c>
      <c r="B370" s="36" t="s">
        <v>806</v>
      </c>
      <c r="C370" s="7" t="str">
        <f>HYPERLINK("https://data.sopsr.sk/chranene-objekty/chranene-uzemia/detail/SKUEV0392","Brezovská stráň")</f>
        <v>Brezovská stráň</v>
      </c>
      <c r="D370" s="33">
        <v>420.05200000000002</v>
      </c>
      <c r="E370" s="44" t="str">
        <f>HYPERLINK("https://natura2000.sopsr.sk/lokality/uev/lokality-uev/?uev=SKUEV0392","Odkaz")</f>
        <v>Odkaz</v>
      </c>
      <c r="F370" s="44" t="str">
        <f>HYPERLINK("https://natura2000.sopsr.sk/wp-content/uploads/natura/legislativa/uev/ciele/SKUEV0392.docx","Spracované")</f>
        <v>Spracované</v>
      </c>
      <c r="G370" s="10" t="s">
        <v>10</v>
      </c>
      <c r="H370" s="9" t="s">
        <v>20</v>
      </c>
      <c r="I370" s="9" t="s">
        <v>58</v>
      </c>
      <c r="J370" s="10" t="s">
        <v>47</v>
      </c>
      <c r="K370" s="38">
        <v>0</v>
      </c>
    </row>
    <row r="371" spans="1:11" x14ac:dyDescent="0.25">
      <c r="A371" s="6" t="s">
        <v>807</v>
      </c>
      <c r="B371" s="36" t="s">
        <v>808</v>
      </c>
      <c r="C371" s="7" t="str">
        <f>HYPERLINK("https://data.sopsr.sk/chranene-objekty/chranene-uzemia/detail/SKUEV0393","Dunaj")</f>
        <v>Dunaj</v>
      </c>
      <c r="D371" s="33">
        <v>2540.6055999999999</v>
      </c>
      <c r="E371" s="44" t="str">
        <f>HYPERLINK("https://natura2000.sopsr.sk/lokality/uev/lokality-uev/?uev=SKUEV0393","Odkaz")</f>
        <v>Odkaz</v>
      </c>
      <c r="F371" s="44" t="str">
        <f>HYPERLINK("https://natura2000.sopsr.sk/wp-content/uploads/natura/legislativa/uev/ciele/SKUEV0393.docx","Spracované")</f>
        <v>Spracované</v>
      </c>
      <c r="G371" s="10" t="s">
        <v>10</v>
      </c>
      <c r="H371" s="9" t="s">
        <v>20</v>
      </c>
      <c r="I371" s="9" t="s">
        <v>58</v>
      </c>
      <c r="J371" s="10" t="s">
        <v>40</v>
      </c>
      <c r="K371" s="38">
        <v>0</v>
      </c>
    </row>
    <row r="372" spans="1:11" x14ac:dyDescent="0.25">
      <c r="A372" s="6" t="s">
        <v>809</v>
      </c>
      <c r="B372" s="36" t="s">
        <v>810</v>
      </c>
      <c r="C372" s="7" t="str">
        <f>HYPERLINK("https://data.sopsr.sk/chranene-objekty/chranene-uzemia/detail/SKUEV0395","Pohrebište")</f>
        <v>Pohrebište</v>
      </c>
      <c r="D372" s="33">
        <v>103.0287</v>
      </c>
      <c r="E372" s="44" t="str">
        <f>HYPERLINK("https://natura2000.sopsr.sk/lokality/uev/lokality-uev/?uev=SKUEV0395","Odkaz")</f>
        <v>Odkaz</v>
      </c>
      <c r="F372" s="44" t="str">
        <f>HYPERLINK("https://natura2000.sopsr.sk/wp-content/uploads/natura/legislativa/uev/ciele/SKUEV0395.docx","Spracované")</f>
        <v>Spracované</v>
      </c>
      <c r="G372" s="10" t="s">
        <v>10</v>
      </c>
      <c r="H372" s="9" t="s">
        <v>20</v>
      </c>
      <c r="I372" s="9" t="s">
        <v>58</v>
      </c>
      <c r="J372" s="10" t="s">
        <v>40</v>
      </c>
      <c r="K372" s="38">
        <v>80</v>
      </c>
    </row>
    <row r="373" spans="1:11" x14ac:dyDescent="0.25">
      <c r="A373" s="6" t="s">
        <v>811</v>
      </c>
      <c r="B373" s="36" t="s">
        <v>812</v>
      </c>
      <c r="C373" s="7" t="str">
        <f>HYPERLINK("https://data.sopsr.sk/chranene-objekty/chranene-uzemia/detail/SKUEV0397","Váh pri Zamarovciach")</f>
        <v>Váh pri Zamarovciach</v>
      </c>
      <c r="D373" s="33">
        <v>63.008600000000001</v>
      </c>
      <c r="E373" s="44" t="str">
        <f>HYPERLINK("https://natura2000.sopsr.sk/lokality/uev/lokality-uev/?uev=SKUEV0397","Odkaz")</f>
        <v>Odkaz</v>
      </c>
      <c r="F373" s="44" t="str">
        <f>HYPERLINK("https://natura2000.sopsr.sk/wp-content/uploads/natura/legislativa/uev/ciele/SKUEV0397.docx","Spracované")</f>
        <v>Spracované</v>
      </c>
      <c r="G373" s="10" t="s">
        <v>10</v>
      </c>
      <c r="H373" s="10" t="s">
        <v>11</v>
      </c>
      <c r="I373" s="9" t="s">
        <v>222</v>
      </c>
      <c r="J373" s="10" t="s">
        <v>319</v>
      </c>
      <c r="K373" s="38">
        <v>0</v>
      </c>
    </row>
    <row r="374" spans="1:11" x14ac:dyDescent="0.25">
      <c r="A374" s="6" t="s">
        <v>813</v>
      </c>
      <c r="B374" s="36" t="s">
        <v>814</v>
      </c>
      <c r="C374" s="7" t="str">
        <f>HYPERLINK("https://data.sopsr.sk/chranene-objekty/chranene-uzemia/detail/SKUEV0398","Slaná")</f>
        <v>Slaná</v>
      </c>
      <c r="D374" s="33">
        <v>182.17089999999999</v>
      </c>
      <c r="E374" s="44" t="str">
        <f>HYPERLINK("https://natura2000.sopsr.sk/lokality/uev/lokality-uev/?uev=SKUEV0398","Odkaz")</f>
        <v>Odkaz</v>
      </c>
      <c r="F374" s="44" t="str">
        <f>HYPERLINK("https://natura2000.sopsr.sk/wp-content/uploads/natura/legislativa/uev/ciele/SKUEV0398.docx","Spracované")</f>
        <v>Spracované</v>
      </c>
      <c r="G374" s="8" t="s">
        <v>23</v>
      </c>
      <c r="H374" s="10" t="s">
        <v>11</v>
      </c>
      <c r="I374" s="10" t="s">
        <v>64</v>
      </c>
      <c r="J374" s="10" t="s">
        <v>592</v>
      </c>
      <c r="K374" s="38">
        <v>100</v>
      </c>
    </row>
    <row r="375" spans="1:11" x14ac:dyDescent="0.25">
      <c r="A375" s="6" t="s">
        <v>815</v>
      </c>
      <c r="B375" s="36" t="s">
        <v>816</v>
      </c>
      <c r="C375" s="7" t="str">
        <f>HYPERLINK("https://data.sopsr.sk/chranene-objekty/chranene-uzemia/detail/SKUEV0399","Bacúšska jelšina")</f>
        <v>Bacúšska jelšina</v>
      </c>
      <c r="D375" s="33">
        <v>4.6554000000000002</v>
      </c>
      <c r="E375" s="44" t="str">
        <f>HYPERLINK("https://natura2000.sopsr.sk/lokality/uev/lokality-uev/?uev=SKUEV0399","Odkaz")</f>
        <v>Odkaz</v>
      </c>
      <c r="F375" s="44" t="str">
        <f>HYPERLINK("https://natura2000.sopsr.sk/wp-content/uploads/natura/legislativa/uev/ciele/SKUEV0399.docx","Spracované")</f>
        <v>Spracované</v>
      </c>
      <c r="G375" s="8" t="s">
        <v>23</v>
      </c>
      <c r="H375" s="10" t="s">
        <v>11</v>
      </c>
      <c r="I375" s="9" t="s">
        <v>61</v>
      </c>
      <c r="J375" s="10" t="s">
        <v>13</v>
      </c>
      <c r="K375" s="38">
        <v>100</v>
      </c>
    </row>
    <row r="376" spans="1:11" x14ac:dyDescent="0.25">
      <c r="A376" s="6" t="s">
        <v>817</v>
      </c>
      <c r="B376" s="36" t="s">
        <v>818</v>
      </c>
      <c r="C376" s="7" t="str">
        <f>HYPERLINK("https://data.sopsr.sk/chranene-objekty/chranene-uzemia/detail/SKUEV0400","Detviansky potok")</f>
        <v>Detviansky potok</v>
      </c>
      <c r="D376" s="33">
        <v>72.653499999999994</v>
      </c>
      <c r="E376" s="44" t="str">
        <f>HYPERLINK("https://natura2000.sopsr.sk/lokality/uev/lokality-uev/?uev=SKUEV0400","Odkaz")</f>
        <v>Odkaz</v>
      </c>
      <c r="F376" s="44" t="str">
        <f>HYPERLINK("https://natura2000.sopsr.sk/wp-content/uploads/natura/legislativa/uev/ciele/SKUEV0400.docx","Spracované")</f>
        <v>Spracované</v>
      </c>
      <c r="G376" s="10" t="s">
        <v>10</v>
      </c>
      <c r="H376" s="10" t="s">
        <v>11</v>
      </c>
      <c r="I376" s="9" t="s">
        <v>61</v>
      </c>
      <c r="J376" s="10" t="s">
        <v>34</v>
      </c>
      <c r="K376" s="38">
        <v>100</v>
      </c>
    </row>
    <row r="377" spans="1:11" x14ac:dyDescent="0.25">
      <c r="A377" s="6" t="s">
        <v>819</v>
      </c>
      <c r="B377" s="36" t="s">
        <v>820</v>
      </c>
      <c r="C377" s="7" t="str">
        <f>HYPERLINK("https://data.sopsr.sk/chranene-objekty/chranene-uzemia/detail/SKUEV0401","Dubnícke bane")</f>
        <v>Dubnícke bane</v>
      </c>
      <c r="D377" s="33">
        <v>242.68780000000001</v>
      </c>
      <c r="E377" s="44" t="str">
        <f>HYPERLINK("https://natura2000.sopsr.sk/lokality/uev/lokality-uev/?uev=SKUEV0401","Odkaz")</f>
        <v>Odkaz</v>
      </c>
      <c r="F377" s="44" t="str">
        <f>HYPERLINK("https://natura2000.sopsr.sk/wp-content/uploads/natura/legislativa/uev/ciele/SKUEV0401.docx","Spracované")</f>
        <v>Spracované</v>
      </c>
      <c r="G377" s="10" t="s">
        <v>10</v>
      </c>
      <c r="H377" s="10" t="s">
        <v>11</v>
      </c>
      <c r="I377" s="9" t="s">
        <v>55</v>
      </c>
      <c r="J377" s="10" t="s">
        <v>1401</v>
      </c>
      <c r="K377" s="38">
        <v>5</v>
      </c>
    </row>
    <row r="378" spans="1:11" x14ac:dyDescent="0.25">
      <c r="A378" s="6" t="s">
        <v>821</v>
      </c>
      <c r="B378" s="36" t="s">
        <v>822</v>
      </c>
      <c r="C378" s="7" t="str">
        <f>HYPERLINK("https://data.sopsr.sk/chranene-objekty/chranene-uzemia/detail/SKUEV0402","Bradlo")</f>
        <v>Bradlo</v>
      </c>
      <c r="D378" s="33">
        <v>5.9999999999999995E-4</v>
      </c>
      <c r="E378" s="44" t="str">
        <f>HYPERLINK("https://natura2000.sopsr.sk/lokality/uev/lokality-uev/?uev=SKUEV0402","Odkaz")</f>
        <v>Odkaz</v>
      </c>
      <c r="F378" s="44" t="str">
        <f>HYPERLINK("https://natura2000.sopsr.sk/wp-content/uploads/natura/legislativa/uev/ciele/SKUEV0402.docx","Spracované")</f>
        <v>Spracované</v>
      </c>
      <c r="G378" s="10" t="s">
        <v>10</v>
      </c>
      <c r="H378" s="9" t="s">
        <v>11</v>
      </c>
      <c r="I378" s="10" t="s">
        <v>61</v>
      </c>
      <c r="J378" s="10" t="s">
        <v>13</v>
      </c>
      <c r="K378" s="38">
        <v>100</v>
      </c>
    </row>
    <row r="379" spans="1:11" x14ac:dyDescent="0.25">
      <c r="A379" s="19" t="s">
        <v>823</v>
      </c>
      <c r="B379" s="36" t="s">
        <v>824</v>
      </c>
      <c r="C379" s="7" t="str">
        <f>HYPERLINK("https://data.sopsr.sk/chranene-objekty/chranene-uzemia/detail/SKUEV0502","Štokeravská vápenka")</f>
        <v>Štokeravská vápenka</v>
      </c>
      <c r="D379" s="33">
        <v>12.680099999999999</v>
      </c>
      <c r="E379" s="44" t="str">
        <f>HYPERLINK("https://natura2000.sopsr.sk/lokality/uev/lokality-uev/?uev=SKUEV0502","Odkaz")</f>
        <v>Odkaz</v>
      </c>
      <c r="F379" s="44" t="str">
        <f>HYPERLINK("https://natura2000.sopsr.sk/wp-content/uploads/natura/legislativa/uev/ciele/SKUEV0502.docx","Spracované")</f>
        <v>Spracované</v>
      </c>
      <c r="G379" s="10" t="s">
        <v>10</v>
      </c>
      <c r="H379" s="9" t="s">
        <v>20</v>
      </c>
      <c r="I379" s="10" t="s">
        <v>146</v>
      </c>
      <c r="J379" s="9" t="s">
        <v>40</v>
      </c>
      <c r="K379" s="38">
        <v>100</v>
      </c>
    </row>
    <row r="380" spans="1:11" x14ac:dyDescent="0.25">
      <c r="A380" s="19" t="s">
        <v>825</v>
      </c>
      <c r="B380" s="36" t="s">
        <v>826</v>
      </c>
      <c r="C380" s="7" t="str">
        <f>HYPERLINK("https://data.sopsr.sk/chranene-objekty/chranene-uzemia/detail/SKUEV0503","Predhorie")</f>
        <v>Predhorie</v>
      </c>
      <c r="D380" s="33">
        <v>45.828400000000002</v>
      </c>
      <c r="E380" s="44" t="str">
        <f>HYPERLINK("https://natura2000.sopsr.sk/lokality/uev/lokality-uev/?uev=SKUEV0503","Odkaz")</f>
        <v>Odkaz</v>
      </c>
      <c r="F380" s="44" t="str">
        <f>HYPERLINK("https://natura2000.sopsr.sk/wp-content/uploads/natura/legislativa/uev/ciele/SKUEV0503.docx","Spracované")</f>
        <v>Spracované</v>
      </c>
      <c r="G380" s="10" t="s">
        <v>10</v>
      </c>
      <c r="H380" s="9" t="s">
        <v>11</v>
      </c>
      <c r="I380" s="10" t="s">
        <v>146</v>
      </c>
      <c r="J380" s="9" t="s">
        <v>225</v>
      </c>
      <c r="K380" s="38">
        <v>100</v>
      </c>
    </row>
    <row r="381" spans="1:11" x14ac:dyDescent="0.25">
      <c r="A381" s="19" t="s">
        <v>827</v>
      </c>
      <c r="B381" s="36" t="s">
        <v>828</v>
      </c>
      <c r="C381" s="7" t="str">
        <f>HYPERLINK("https://data.sopsr.sk/chranene-objekty/chranene-uzemia/detail/SKUEV0506","Orlie skaly")</f>
        <v>Orlie skaly</v>
      </c>
      <c r="D381" s="33">
        <v>30.7044</v>
      </c>
      <c r="E381" s="44" t="str">
        <f>HYPERLINK("https://natura2000.sopsr.sk/lokality/uev/lokality-uev/?uev=SKUEV0506","Odkaz")</f>
        <v>Odkaz</v>
      </c>
      <c r="F381" s="44" t="str">
        <f>HYPERLINK("https://natura2000.sopsr.sk/wp-content/uploads/natura/legislativa/uev/ciele/SKUEV0506.docx","Spracované")</f>
        <v>Spracované</v>
      </c>
      <c r="G381" s="8" t="s">
        <v>23</v>
      </c>
      <c r="H381" s="9" t="s">
        <v>11</v>
      </c>
      <c r="I381" s="9" t="s">
        <v>167</v>
      </c>
      <c r="J381" s="9" t="s">
        <v>225</v>
      </c>
      <c r="K381" s="38">
        <v>100</v>
      </c>
    </row>
    <row r="382" spans="1:11" x14ac:dyDescent="0.25">
      <c r="A382" s="19" t="s">
        <v>829</v>
      </c>
      <c r="B382" s="36" t="s">
        <v>830</v>
      </c>
      <c r="C382" s="7" t="str">
        <f>HYPERLINK("https://data.sopsr.sk/chranene-objekty/chranene-uzemia/detail/SKUEV0512","Mokrý les")</f>
        <v>Mokrý les</v>
      </c>
      <c r="D382" s="33">
        <v>173.10390000000001</v>
      </c>
      <c r="E382" s="44" t="str">
        <f>HYPERLINK("https://natura2000.sopsr.sk/lokality/uev/lokality-uev/?uev=SKUEV0512","Odkaz")</f>
        <v>Odkaz</v>
      </c>
      <c r="F382" s="44" t="str">
        <f>HYPERLINK("https://natura2000.sopsr.sk/wp-content/uploads/natura/legislativa/uev/ciele/SKUEV0512.docx","Spracované")</f>
        <v>Spracované</v>
      </c>
      <c r="G382" s="10" t="s">
        <v>10</v>
      </c>
      <c r="H382" s="9" t="s">
        <v>20</v>
      </c>
      <c r="I382" s="10" t="s">
        <v>146</v>
      </c>
      <c r="J382" s="9" t="s">
        <v>250</v>
      </c>
      <c r="K382" s="38">
        <v>100</v>
      </c>
    </row>
    <row r="383" spans="1:11" x14ac:dyDescent="0.25">
      <c r="A383" s="19" t="s">
        <v>831</v>
      </c>
      <c r="B383" s="36" t="s">
        <v>832</v>
      </c>
      <c r="C383" s="7" t="str">
        <f>HYPERLINK("https://data.sopsr.sk/chranene-objekty/chranene-uzemia/detail/SKUEV0513","Bencov mlyn")</f>
        <v>Bencov mlyn</v>
      </c>
      <c r="D383" s="33">
        <v>21.910599999999999</v>
      </c>
      <c r="E383" s="44" t="str">
        <f>HYPERLINK("https://natura2000.sopsr.sk/lokality/uev/lokality-uev/?uev=SKUEV0513","Odkaz")</f>
        <v>Odkaz</v>
      </c>
      <c r="F383" s="44" t="str">
        <f>HYPERLINK("https://natura2000.sopsr.sk/wp-content/uploads/natura/legislativa/uev/ciele/SKUEV0513.docx","Spracované")</f>
        <v>Spracované</v>
      </c>
      <c r="G383" s="10" t="s">
        <v>10</v>
      </c>
      <c r="H383" s="9" t="s">
        <v>20</v>
      </c>
      <c r="I383" s="10" t="s">
        <v>146</v>
      </c>
      <c r="J383" s="9" t="s">
        <v>250</v>
      </c>
      <c r="K383" s="38">
        <v>100</v>
      </c>
    </row>
    <row r="384" spans="1:11" x14ac:dyDescent="0.25">
      <c r="A384" s="19" t="s">
        <v>833</v>
      </c>
      <c r="B384" s="36" t="s">
        <v>834</v>
      </c>
      <c r="C384" s="7" t="str">
        <f>HYPERLINK("https://data.sopsr.sk/chranene-objekty/chranene-uzemia/detail/SKUEV0520","Horný tok Myjavy")</f>
        <v>Horný tok Myjavy</v>
      </c>
      <c r="D384" s="33">
        <v>24.495100000000001</v>
      </c>
      <c r="E384" s="44" t="str">
        <f>HYPERLINK("https://natura2000.sopsr.sk/lokality/uev/lokality-uev/?uev=SKUEV0520","Odkaz")</f>
        <v>Odkaz</v>
      </c>
      <c r="F384" s="44" t="str">
        <f>HYPERLINK("https://natura2000.sopsr.sk/wp-content/uploads/natura/legislativa/uev/ciele/SKUEV0520.docx","Spracované")</f>
        <v>Spracované</v>
      </c>
      <c r="G384" s="10" t="s">
        <v>10</v>
      </c>
      <c r="H384" s="9" t="s">
        <v>11</v>
      </c>
      <c r="I384" s="9" t="s">
        <v>167</v>
      </c>
      <c r="J384" s="9" t="s">
        <v>250</v>
      </c>
      <c r="K384" s="38">
        <v>100</v>
      </c>
    </row>
    <row r="385" spans="1:11" x14ac:dyDescent="0.25">
      <c r="A385" s="19" t="s">
        <v>835</v>
      </c>
      <c r="B385" s="36" t="s">
        <v>836</v>
      </c>
      <c r="C385" s="7" t="str">
        <f>HYPERLINK("https://data.sopsr.sk/chranene-objekty/chranene-uzemia/detail/SKUEV0523","Lakšárska duna")</f>
        <v>Lakšárska duna</v>
      </c>
      <c r="D385" s="33">
        <v>5.2765000000000004</v>
      </c>
      <c r="E385" s="44" t="str">
        <f>HYPERLINK("https://natura2000.sopsr.sk/lokality/uev/lokality-uev/?uev=SKUEV0523","Odkaz")</f>
        <v>Odkaz</v>
      </c>
      <c r="F385" s="44" t="str">
        <f>HYPERLINK("https://natura2000.sopsr.sk/wp-content/uploads/natura/legislativa/uev/ciele/SKUEV0523.docx","Spracované")</f>
        <v>Spracované</v>
      </c>
      <c r="G385" s="10" t="s">
        <v>10</v>
      </c>
      <c r="H385" s="9" t="s">
        <v>20</v>
      </c>
      <c r="I385" s="9" t="s">
        <v>167</v>
      </c>
      <c r="J385" s="9" t="s">
        <v>250</v>
      </c>
      <c r="K385" s="38">
        <v>100</v>
      </c>
    </row>
    <row r="386" spans="1:11" x14ac:dyDescent="0.25">
      <c r="A386" s="19" t="s">
        <v>837</v>
      </c>
      <c r="B386" s="36" t="s">
        <v>838</v>
      </c>
      <c r="C386" s="7" t="str">
        <f>HYPERLINK("https://data.sopsr.sk/chranene-objekty/chranene-uzemia/detail/SKUEV0526","Kalaštovský potok")</f>
        <v>Kalaštovský potok</v>
      </c>
      <c r="D386" s="33">
        <v>44.3337</v>
      </c>
      <c r="E386" s="44" t="str">
        <f>HYPERLINK("https://natura2000.sopsr.sk/lokality/uev/lokality-uev/?uev=SKUEV0526","Odkaz")</f>
        <v>Odkaz</v>
      </c>
      <c r="F386" s="44" t="str">
        <f>HYPERLINK("https://natura2000.sopsr.sk/wp-content/uploads/natura/legislativa/uev/ciele/SKUEV0526.docx","Spracované")</f>
        <v>Spracované</v>
      </c>
      <c r="G386" s="10" t="s">
        <v>10</v>
      </c>
      <c r="H386" s="9" t="s">
        <v>20</v>
      </c>
      <c r="I386" s="9" t="s">
        <v>167</v>
      </c>
      <c r="J386" s="9" t="s">
        <v>250</v>
      </c>
      <c r="K386" s="38">
        <v>100</v>
      </c>
    </row>
    <row r="387" spans="1:11" x14ac:dyDescent="0.25">
      <c r="A387" s="19" t="s">
        <v>839</v>
      </c>
      <c r="B387" s="36" t="s">
        <v>840</v>
      </c>
      <c r="C387" s="7" t="str">
        <f>HYPERLINK("https://data.sopsr.sk/chranene-objekty/chranene-uzemia/detail/SKUEV0527","Gachovec")</f>
        <v>Gachovec</v>
      </c>
      <c r="D387" s="33">
        <v>30.369800000000001</v>
      </c>
      <c r="E387" s="44" t="str">
        <f>HYPERLINK("https://natura2000.sopsr.sk/lokality/uev/lokality-uev/?uev=SKUEV0527","Odkaz")</f>
        <v>Odkaz</v>
      </c>
      <c r="F387" s="44" t="str">
        <f>HYPERLINK("https://natura2000.sopsr.sk/wp-content/uploads/natura/legislativa/uev/ciele/SKUEV0527.docx","Spracované")</f>
        <v>Spracované</v>
      </c>
      <c r="G387" s="10" t="s">
        <v>10</v>
      </c>
      <c r="H387" s="9" t="s">
        <v>20</v>
      </c>
      <c r="I387" s="9" t="s">
        <v>167</v>
      </c>
      <c r="J387" s="9" t="s">
        <v>250</v>
      </c>
      <c r="K387" s="38">
        <v>100</v>
      </c>
    </row>
    <row r="388" spans="1:11" x14ac:dyDescent="0.25">
      <c r="A388" s="19" t="s">
        <v>841</v>
      </c>
      <c r="B388" s="36" t="s">
        <v>842</v>
      </c>
      <c r="C388" s="7" t="str">
        <f>HYPERLINK("https://data.sopsr.sk/chranene-objekty/chranene-uzemia/detail/SKUEV0552","Lohotský močiar")</f>
        <v>Lohotský močiar</v>
      </c>
      <c r="D388" s="33">
        <v>21.7974</v>
      </c>
      <c r="E388" s="44" t="str">
        <f>HYPERLINK("https://natura2000.sopsr.sk/lokality/uev/lokality-uev/?uev=SKUEV0552","Odkaz")</f>
        <v>Odkaz</v>
      </c>
      <c r="F388" s="44" t="str">
        <f>HYPERLINK("https://natura2000.sopsr.sk/wp-content/uploads/natura/legislativa/uev/ciele/SKUEV0552.docx","Spracované")</f>
        <v>Spracované</v>
      </c>
      <c r="G388" s="10" t="s">
        <v>10</v>
      </c>
      <c r="H388" s="9" t="s">
        <v>20</v>
      </c>
      <c r="I388" s="9" t="s">
        <v>58</v>
      </c>
      <c r="J388" s="9" t="s">
        <v>40</v>
      </c>
      <c r="K388" s="38">
        <v>100</v>
      </c>
    </row>
    <row r="389" spans="1:11" x14ac:dyDescent="0.25">
      <c r="A389" s="19" t="s">
        <v>843</v>
      </c>
      <c r="B389" s="36" t="s">
        <v>844</v>
      </c>
      <c r="C389" s="7" t="str">
        <f>HYPERLINK("https://data.sopsr.sk/chranene-objekty/chranene-uzemia/detail/SKUEV0563","Šifflovské")</f>
        <v>Šifflovské</v>
      </c>
      <c r="D389" s="33">
        <v>1.8727</v>
      </c>
      <c r="E389" s="44" t="str">
        <f>HYPERLINK("https://natura2000.sopsr.sk/lokality/uev/lokality-uev/?uev=SKUEV0563","Odkaz")</f>
        <v>Odkaz</v>
      </c>
      <c r="F389" s="44" t="str">
        <f>HYPERLINK("https://natura2000.sopsr.sk/wp-content/uploads/natura/legislativa/uev/ciele/SKUEV0563.docx","Spracované")</f>
        <v>Spracované</v>
      </c>
      <c r="G389" s="10" t="s">
        <v>10</v>
      </c>
      <c r="H389" s="9" t="s">
        <v>11</v>
      </c>
      <c r="I389" s="9" t="s">
        <v>222</v>
      </c>
      <c r="J389" s="9" t="s">
        <v>319</v>
      </c>
      <c r="K389" s="38">
        <v>100</v>
      </c>
    </row>
    <row r="390" spans="1:11" x14ac:dyDescent="0.25">
      <c r="A390" s="19" t="s">
        <v>845</v>
      </c>
      <c r="B390" s="36" t="s">
        <v>846</v>
      </c>
      <c r="C390" s="7" t="str">
        <f>HYPERLINK("https://data.sopsr.sk/chranene-objekty/chranene-uzemia/detail/SKUEV0564","Dubová")</f>
        <v>Dubová</v>
      </c>
      <c r="D390" s="33">
        <v>10.0739</v>
      </c>
      <c r="E390" s="44" t="str">
        <f>HYPERLINK("https://natura2000.sopsr.sk/lokality/uev/lokality-uev/?uev=SKUEV0564","Odkaz")</f>
        <v>Odkaz</v>
      </c>
      <c r="F390" s="44" t="str">
        <f>HYPERLINK("https://natura2000.sopsr.sk/wp-content/uploads/natura/legislativa/uev/ciele/SKUEV0564.docx","Spracované")</f>
        <v>Spracované</v>
      </c>
      <c r="G390" s="10" t="s">
        <v>10</v>
      </c>
      <c r="H390" s="9" t="s">
        <v>11</v>
      </c>
      <c r="I390" s="9" t="s">
        <v>579</v>
      </c>
      <c r="J390" s="9" t="s">
        <v>319</v>
      </c>
      <c r="K390" s="38">
        <v>100</v>
      </c>
    </row>
    <row r="391" spans="1:11" x14ac:dyDescent="0.25">
      <c r="A391" s="19" t="s">
        <v>847</v>
      </c>
      <c r="B391" s="36" t="s">
        <v>848</v>
      </c>
      <c r="C391" s="7" t="str">
        <f>HYPERLINK("https://data.sopsr.sk/chranene-objekty/chranene-uzemia/detail/SKUEV0565","Prieľačina")</f>
        <v>Prieľačina</v>
      </c>
      <c r="D391" s="33">
        <v>36.6325</v>
      </c>
      <c r="E391" s="44" t="str">
        <f>HYPERLINK("https://natura2000.sopsr.sk/lokality/uev/lokality-uev/?uev=SKUEV0565","Odkaz")</f>
        <v>Odkaz</v>
      </c>
      <c r="F391" s="44" t="str">
        <f>HYPERLINK("https://natura2000.sopsr.sk/wp-content/uploads/natura/legislativa/uev/ciele/SKUEV0565.docx","Spracované")</f>
        <v>Spracované</v>
      </c>
      <c r="G391" s="10" t="s">
        <v>10</v>
      </c>
      <c r="H391" s="9" t="s">
        <v>11</v>
      </c>
      <c r="I391" s="9" t="s">
        <v>849</v>
      </c>
      <c r="J391" s="9" t="s">
        <v>319</v>
      </c>
      <c r="K391" s="38">
        <v>100</v>
      </c>
    </row>
    <row r="392" spans="1:11" x14ac:dyDescent="0.25">
      <c r="A392" s="19" t="s">
        <v>850</v>
      </c>
      <c r="B392" s="36" t="s">
        <v>851</v>
      </c>
      <c r="C392" s="7" t="str">
        <f>HYPERLINK("https://data.sopsr.sk/chranene-objekty/chranene-uzemia/detail/SKUEV0566","Beckovské Skalice")</f>
        <v>Beckovské Skalice</v>
      </c>
      <c r="D392" s="33">
        <v>33.066200000000002</v>
      </c>
      <c r="E392" s="44" t="str">
        <f>HYPERLINK("https://natura2000.sopsr.sk/lokality/uev/lokality-uev/?uev=SKUEV0566","Odkaz")</f>
        <v>Odkaz</v>
      </c>
      <c r="F392" s="44" t="str">
        <f>HYPERLINK("https://natura2000.sopsr.sk/wp-content/uploads/natura/legislativa/uev/ciele/SKUEV0566.docx","Spracované")</f>
        <v>Spracované</v>
      </c>
      <c r="G392" s="10" t="s">
        <v>10</v>
      </c>
      <c r="H392" s="9" t="s">
        <v>11</v>
      </c>
      <c r="I392" s="9" t="s">
        <v>222</v>
      </c>
      <c r="J392" s="9" t="s">
        <v>319</v>
      </c>
      <c r="K392" s="38">
        <v>100</v>
      </c>
    </row>
    <row r="393" spans="1:11" x14ac:dyDescent="0.25">
      <c r="A393" s="19" t="s">
        <v>852</v>
      </c>
      <c r="B393" s="36" t="s">
        <v>853</v>
      </c>
      <c r="C393" s="7" t="str">
        <f>HYPERLINK("https://data.sopsr.sk/chranene-objekty/chranene-uzemia/detail/SKUEV0567","Turecký vrch")</f>
        <v>Turecký vrch</v>
      </c>
      <c r="D393" s="33">
        <v>34.329099999999997</v>
      </c>
      <c r="E393" s="44" t="str">
        <f>HYPERLINK("https://natura2000.sopsr.sk/lokality/uev/lokality-uev/?uev=SKUEV0567","Odkaz")</f>
        <v>Odkaz</v>
      </c>
      <c r="F393" s="44" t="str">
        <f>HYPERLINK("https://natura2000.sopsr.sk/wp-content/uploads/natura/legislativa/uev/ciele/SKUEV0567.docx","Spracované")</f>
        <v>Spracované</v>
      </c>
      <c r="G393" s="10" t="s">
        <v>10</v>
      </c>
      <c r="H393" s="9" t="s">
        <v>11</v>
      </c>
      <c r="I393" s="9" t="s">
        <v>222</v>
      </c>
      <c r="J393" s="9" t="s">
        <v>319</v>
      </c>
      <c r="K393" s="38">
        <v>100</v>
      </c>
    </row>
    <row r="394" spans="1:11" x14ac:dyDescent="0.25">
      <c r="A394" s="19" t="s">
        <v>854</v>
      </c>
      <c r="B394" s="36" t="s">
        <v>855</v>
      </c>
      <c r="C394" s="7" t="str">
        <f>HYPERLINK("https://data.sopsr.sk/chranene-objekty/chranene-uzemia/detail/SKUEV0568","Borotová")</f>
        <v>Borotová</v>
      </c>
      <c r="D394" s="33">
        <v>1.2292000000000001</v>
      </c>
      <c r="E394" s="44" t="str">
        <f>HYPERLINK("https://natura2000.sopsr.sk/lokality/uev/lokality-uev/?uev=SKUEV0568","Odkaz")</f>
        <v>Odkaz</v>
      </c>
      <c r="F394" s="44" t="str">
        <f>HYPERLINK("https://natura2000.sopsr.sk/wp-content/uploads/natura/legislativa/uev/ciele/SKUEV0568.docx","Spracované")</f>
        <v>Spracované</v>
      </c>
      <c r="G394" s="10" t="s">
        <v>10</v>
      </c>
      <c r="H394" s="9" t="s">
        <v>11</v>
      </c>
      <c r="I394" s="9" t="s">
        <v>222</v>
      </c>
      <c r="J394" s="9" t="s">
        <v>319</v>
      </c>
      <c r="K394" s="38">
        <v>100</v>
      </c>
    </row>
    <row r="395" spans="1:11" x14ac:dyDescent="0.25">
      <c r="A395" s="19" t="s">
        <v>856</v>
      </c>
      <c r="B395" s="36" t="s">
        <v>857</v>
      </c>
      <c r="C395" s="7" t="str">
        <f>HYPERLINK("https://data.sopsr.sk/chranene-objekty/chranene-uzemia/detail/SKUEV0569","Považský Inovec")</f>
        <v>Považský Inovec</v>
      </c>
      <c r="D395" s="33">
        <v>34.729399999999998</v>
      </c>
      <c r="E395" s="44" t="str">
        <f>HYPERLINK("https://natura2000.sopsr.sk/lokality/uev/lokality-uev/?uev=SKUEV0569","Odkaz")</f>
        <v>Odkaz</v>
      </c>
      <c r="F395" s="44" t="str">
        <f>HYPERLINK("https://natura2000.sopsr.sk/wp-content/uploads/natura/legislativa/uev/ciele/SKUEV0569.docx","Spracované")</f>
        <v>Spracované</v>
      </c>
      <c r="G395" s="10" t="s">
        <v>10</v>
      </c>
      <c r="H395" s="9" t="s">
        <v>11</v>
      </c>
      <c r="I395" s="9" t="s">
        <v>222</v>
      </c>
      <c r="J395" s="9" t="s">
        <v>319</v>
      </c>
      <c r="K395" s="38">
        <v>100</v>
      </c>
    </row>
    <row r="396" spans="1:11" x14ac:dyDescent="0.25">
      <c r="A396" s="19" t="s">
        <v>858</v>
      </c>
      <c r="B396" s="36" t="s">
        <v>859</v>
      </c>
      <c r="C396" s="7" t="str">
        <f>HYPERLINK("https://data.sopsr.sk/chranene-objekty/chranene-uzemia/detail/SKUEV0575","Prepadlisko")</f>
        <v>Prepadlisko</v>
      </c>
      <c r="D396" s="33">
        <v>8.0579999999999998</v>
      </c>
      <c r="E396" s="44" t="str">
        <f>HYPERLINK("https://natura2000.sopsr.sk/lokality/uev/lokality-uev/?uev=SKUEV0575","Odkaz")</f>
        <v>Odkaz</v>
      </c>
      <c r="F396" s="44" t="str">
        <f>HYPERLINK("https://natura2000.sopsr.sk/wp-content/uploads/natura/legislativa/uev/ciele/SKUEV0575.docx","Spracované")</f>
        <v>Spracované</v>
      </c>
      <c r="G396" s="10" t="s">
        <v>10</v>
      </c>
      <c r="H396" s="9" t="s">
        <v>11</v>
      </c>
      <c r="I396" s="9" t="s">
        <v>222</v>
      </c>
      <c r="J396" s="9" t="s">
        <v>319</v>
      </c>
      <c r="K396" s="38">
        <v>100</v>
      </c>
    </row>
    <row r="397" spans="1:11" x14ac:dyDescent="0.25">
      <c r="A397" s="19" t="s">
        <v>860</v>
      </c>
      <c r="B397" s="36" t="s">
        <v>861</v>
      </c>
      <c r="C397" s="7" t="str">
        <f>HYPERLINK("https://data.sopsr.sk/chranene-objekty/chranene-uzemia/detail/SKUEV0576","Tlstá hora")</f>
        <v>Tlstá hora</v>
      </c>
      <c r="D397" s="33">
        <v>1.1448</v>
      </c>
      <c r="E397" s="44" t="str">
        <f>HYPERLINK("https://natura2000.sopsr.sk/lokality/uev/lokality-uev/?uev=SKUEV0576","Odkaz")</f>
        <v>Odkaz</v>
      </c>
      <c r="F397" s="44" t="str">
        <f>HYPERLINK("https://natura2000.sopsr.sk/wp-content/uploads/natura/legislativa/uev/ciele/SKUEV0576.docx","Spracované")</f>
        <v>Spracované</v>
      </c>
      <c r="G397" s="10" t="s">
        <v>10</v>
      </c>
      <c r="H397" s="9" t="s">
        <v>11</v>
      </c>
      <c r="I397" s="9" t="s">
        <v>222</v>
      </c>
      <c r="J397" s="9" t="s">
        <v>319</v>
      </c>
      <c r="K397" s="38">
        <v>100</v>
      </c>
    </row>
    <row r="398" spans="1:11" x14ac:dyDescent="0.25">
      <c r="A398" s="19" t="s">
        <v>862</v>
      </c>
      <c r="B398" s="36" t="s">
        <v>863</v>
      </c>
      <c r="C398" s="7" t="str">
        <f>HYPERLINK("https://data.sopsr.sk/chranene-objekty/chranene-uzemia/detail/SKUEV0578","Jachtár")</f>
        <v>Jachtár</v>
      </c>
      <c r="D398" s="33">
        <v>28.291399999999999</v>
      </c>
      <c r="E398" s="44" t="str">
        <f>HYPERLINK("https://natura2000.sopsr.sk/lokality/uev/lokality-uev/?uev=SKUEV0578","Odkaz")</f>
        <v>Odkaz</v>
      </c>
      <c r="F398" s="44" t="str">
        <f>HYPERLINK("https://natura2000.sopsr.sk/wp-content/uploads/natura/legislativa/uev/ciele/SKUEV0578.docx","Spracované")</f>
        <v>Spracované</v>
      </c>
      <c r="G398" s="10" t="s">
        <v>10</v>
      </c>
      <c r="H398" s="9" t="s">
        <v>11</v>
      </c>
      <c r="I398" s="9" t="s">
        <v>222</v>
      </c>
      <c r="J398" s="9" t="s">
        <v>319</v>
      </c>
      <c r="K398" s="38">
        <v>100</v>
      </c>
    </row>
    <row r="399" spans="1:11" x14ac:dyDescent="0.25">
      <c r="A399" s="19" t="s">
        <v>864</v>
      </c>
      <c r="B399" s="36" t="s">
        <v>865</v>
      </c>
      <c r="C399" s="7" t="str">
        <f>HYPERLINK("https://data.sopsr.sk/chranene-objekty/chranene-uzemia/detail/SKUEV0579","Mituchovské")</f>
        <v>Mituchovské</v>
      </c>
      <c r="D399" s="33">
        <v>1.4500999999999999</v>
      </c>
      <c r="E399" s="44" t="str">
        <f>HYPERLINK("https://natura2000.sopsr.sk/lokality/uev/lokality-uev/?uev=SKUEV0579","Odkaz")</f>
        <v>Odkaz</v>
      </c>
      <c r="F399" s="44" t="str">
        <f>HYPERLINK("https://natura2000.sopsr.sk/wp-content/uploads/natura/legislativa/uev/ciele/SKUEV0579.docx","Spracované")</f>
        <v>Spracované</v>
      </c>
      <c r="G399" s="10" t="s">
        <v>10</v>
      </c>
      <c r="H399" s="9" t="s">
        <v>11</v>
      </c>
      <c r="I399" s="9" t="s">
        <v>222</v>
      </c>
      <c r="J399" s="9" t="s">
        <v>319</v>
      </c>
      <c r="K399" s="38">
        <v>100</v>
      </c>
    </row>
    <row r="400" spans="1:11" x14ac:dyDescent="0.25">
      <c r="A400" s="19" t="s">
        <v>866</v>
      </c>
      <c r="B400" s="36" t="s">
        <v>867</v>
      </c>
      <c r="C400" s="7" t="str">
        <f>HYPERLINK("https://data.sopsr.sk/chranene-objekty/chranene-uzemia/detail/SKUEV0580","Dolné Branné")</f>
        <v>Dolné Branné</v>
      </c>
      <c r="D400" s="33">
        <v>0.91100000000000003</v>
      </c>
      <c r="E400" s="44" t="str">
        <f>HYPERLINK("https://natura2000.sopsr.sk/lokality/uev/lokality-uev/?uev=SKUEV0580","Odkaz")</f>
        <v>Odkaz</v>
      </c>
      <c r="F400" s="44" t="str">
        <f>HYPERLINK("https://natura2000.sopsr.sk/wp-content/uploads/natura/legislativa/uev/ciele/SKUEV0580.docx","Spracované")</f>
        <v>Spracované</v>
      </c>
      <c r="G400" s="10" t="s">
        <v>10</v>
      </c>
      <c r="H400" s="9" t="s">
        <v>11</v>
      </c>
      <c r="I400" s="9" t="s">
        <v>222</v>
      </c>
      <c r="J400" s="9" t="s">
        <v>319</v>
      </c>
      <c r="K400" s="38">
        <v>100</v>
      </c>
    </row>
    <row r="401" spans="1:11" x14ac:dyDescent="0.25">
      <c r="A401" s="19" t="s">
        <v>868</v>
      </c>
      <c r="B401" s="36" t="s">
        <v>869</v>
      </c>
      <c r="C401" s="7" t="str">
        <f>HYPERLINK("https://data.sopsr.sk/chranene-objekty/chranene-uzemia/detail/SKUEV0581","Klapy")</f>
        <v>Klapy</v>
      </c>
      <c r="D401" s="33">
        <v>6.2123999999999997</v>
      </c>
      <c r="E401" s="44" t="str">
        <f>HYPERLINK("https://natura2000.sopsr.sk/lokality/uev/lokality-uev/?uev=SKUEV0581","Odkaz")</f>
        <v>Odkaz</v>
      </c>
      <c r="F401" s="44" t="str">
        <f>HYPERLINK("https://natura2000.sopsr.sk/wp-content/uploads/natura/legislativa/uev/ciele/SKUEV0581.docx","Spracované")</f>
        <v>Spracované</v>
      </c>
      <c r="G401" s="8" t="s">
        <v>23</v>
      </c>
      <c r="H401" s="9" t="s">
        <v>11</v>
      </c>
      <c r="I401" s="9" t="s">
        <v>222</v>
      </c>
      <c r="J401" s="9" t="s">
        <v>532</v>
      </c>
      <c r="K401" s="38">
        <v>100</v>
      </c>
    </row>
    <row r="402" spans="1:11" x14ac:dyDescent="0.25">
      <c r="A402" s="19" t="s">
        <v>870</v>
      </c>
      <c r="B402" s="36" t="s">
        <v>871</v>
      </c>
      <c r="C402" s="7" t="str">
        <f>HYPERLINK("https://data.sopsr.sk/chranene-objekty/chranene-uzemia/detail/SKUEV0588","Stehlíkovské")</f>
        <v>Stehlíkovské</v>
      </c>
      <c r="D402" s="33">
        <v>7.1052999999999997</v>
      </c>
      <c r="E402" s="44" t="str">
        <f>HYPERLINK("https://natura2000.sopsr.sk/lokality/uev/lokality-uev/?uev=SKUEV0588","Odkaz")</f>
        <v>Odkaz</v>
      </c>
      <c r="F402" s="44" t="str">
        <f>HYPERLINK("https://natura2000.sopsr.sk/wp-content/uploads/natura/legislativa/uev/ciele/SKUEV0588.docx","Spracované")</f>
        <v>Spracované</v>
      </c>
      <c r="G402" s="10" t="s">
        <v>10</v>
      </c>
      <c r="H402" s="9" t="s">
        <v>11</v>
      </c>
      <c r="I402" s="9" t="s">
        <v>222</v>
      </c>
      <c r="J402" s="9" t="s">
        <v>319</v>
      </c>
      <c r="K402" s="38">
        <v>100</v>
      </c>
    </row>
    <row r="403" spans="1:11" x14ac:dyDescent="0.25">
      <c r="A403" s="19" t="s">
        <v>872</v>
      </c>
      <c r="B403" s="36" t="s">
        <v>873</v>
      </c>
      <c r="C403" s="7" t="str">
        <f>HYPERLINK("https://data.sopsr.sk/chranene-objekty/chranene-uzemia/detail/SKUEV0589","Chynoriansky luh")</f>
        <v>Chynoriansky luh</v>
      </c>
      <c r="D403" s="33">
        <v>46.259300000000003</v>
      </c>
      <c r="E403" s="44" t="str">
        <f>HYPERLINK("https://natura2000.sopsr.sk/lokality/uev/lokality-uev/?uev=SKUEV0589","Odkaz")</f>
        <v>Odkaz</v>
      </c>
      <c r="F403" s="44" t="str">
        <f>HYPERLINK("https://natura2000.sopsr.sk/wp-content/uploads/natura/legislativa/uev/ciele/SKUEV0589.docx","Spracované")</f>
        <v>Spracované</v>
      </c>
      <c r="G403" s="10" t="s">
        <v>10</v>
      </c>
      <c r="H403" s="9" t="s">
        <v>11</v>
      </c>
      <c r="I403" s="9" t="s">
        <v>222</v>
      </c>
      <c r="J403" s="9" t="s">
        <v>47</v>
      </c>
      <c r="K403" s="38">
        <v>100</v>
      </c>
    </row>
    <row r="404" spans="1:11" x14ac:dyDescent="0.25">
      <c r="A404" s="19" t="s">
        <v>874</v>
      </c>
      <c r="B404" s="36" t="s">
        <v>875</v>
      </c>
      <c r="C404" s="7" t="str">
        <f>HYPERLINK("https://data.sopsr.sk/chranene-objekty/chranene-uzemia/detail/SKUEV0590","Bielické bahná")</f>
        <v>Bielické bahná</v>
      </c>
      <c r="D404" s="33">
        <v>2.8717000000000001</v>
      </c>
      <c r="E404" s="44" t="str">
        <f>HYPERLINK("https://natura2000.sopsr.sk/lokality/uev/lokality-uev/?uev=SKUEV0590","Odkaz")</f>
        <v>Odkaz</v>
      </c>
      <c r="F404" s="44" t="str">
        <f>HYPERLINK("https://natura2000.sopsr.sk/wp-content/uploads/natura/legislativa/uev/ciele/SKUEV0590.docx","Spracované")</f>
        <v>Spracované</v>
      </c>
      <c r="G404" s="10" t="s">
        <v>10</v>
      </c>
      <c r="H404" s="9" t="s">
        <v>11</v>
      </c>
      <c r="I404" s="9" t="s">
        <v>222</v>
      </c>
      <c r="J404" s="9" t="s">
        <v>47</v>
      </c>
      <c r="K404" s="38">
        <v>0</v>
      </c>
    </row>
    <row r="405" spans="1:11" x14ac:dyDescent="0.25">
      <c r="A405" s="19" t="s">
        <v>876</v>
      </c>
      <c r="B405" s="36" t="s">
        <v>877</v>
      </c>
      <c r="C405" s="7" t="str">
        <f>HYPERLINK("https://data.sopsr.sk/chranene-objekty/chranene-uzemia/detail/SKUEV0593","Sokolec")</f>
        <v>Sokolec</v>
      </c>
      <c r="D405" s="33">
        <v>225.0384</v>
      </c>
      <c r="E405" s="44" t="str">
        <f>HYPERLINK("https://natura2000.sopsr.sk/lokality/uev/lokality-uev/?uev=SKUEV0593","Odkaz")</f>
        <v>Odkaz</v>
      </c>
      <c r="F405" s="44" t="str">
        <f>HYPERLINK("https://natura2000.sopsr.sk/wp-content/uploads/natura/legislativa/uev/ciele/SKUEV0593.docx","Spracované")</f>
        <v>Spracované</v>
      </c>
      <c r="G405" s="10" t="s">
        <v>10</v>
      </c>
      <c r="H405" s="9" t="s">
        <v>11</v>
      </c>
      <c r="I405" s="10" t="s">
        <v>61</v>
      </c>
      <c r="J405" s="9" t="s">
        <v>47</v>
      </c>
      <c r="K405" s="38">
        <v>100</v>
      </c>
    </row>
    <row r="406" spans="1:11" x14ac:dyDescent="0.25">
      <c r="A406" s="19" t="s">
        <v>878</v>
      </c>
      <c r="B406" s="36" t="s">
        <v>879</v>
      </c>
      <c r="C406" s="7" t="str">
        <f>HYPERLINK("https://data.sopsr.sk/chranene-objekty/chranene-uzemia/detail/SKUEV0638","Revištský rybník")</f>
        <v>Revištský rybník</v>
      </c>
      <c r="D406" s="33">
        <v>24.301100000000002</v>
      </c>
      <c r="E406" s="44" t="str">
        <f>HYPERLINK("https://natura2000.sopsr.sk/lokality/uev/lokality-uev/?uev=SKUEV0638","Odkaz")</f>
        <v>Odkaz</v>
      </c>
      <c r="F406" s="44" t="str">
        <f>HYPERLINK("https://natura2000.sopsr.sk/wp-content/uploads/natura/legislativa/uev/ciele/SKUEV0638.docx","Spracované")</f>
        <v>Spracované</v>
      </c>
      <c r="G406" s="10" t="s">
        <v>10</v>
      </c>
      <c r="H406" s="9" t="s">
        <v>11</v>
      </c>
      <c r="I406" s="10" t="s">
        <v>61</v>
      </c>
      <c r="J406" s="10" t="s">
        <v>52</v>
      </c>
      <c r="K406" s="38">
        <v>100</v>
      </c>
    </row>
    <row r="407" spans="1:11" ht="27" customHeight="1" x14ac:dyDescent="0.25">
      <c r="A407" s="19" t="s">
        <v>880</v>
      </c>
      <c r="B407" s="36" t="s">
        <v>881</v>
      </c>
      <c r="C407" s="7" t="str">
        <f>HYPERLINK("https://data.sopsr.sk/chranene-objekty/chranene-uzemia/detail/SKUEV0640","Bujačia lúka")</f>
        <v>Bujačia lúka</v>
      </c>
      <c r="D407" s="33">
        <v>2.1404000000000001</v>
      </c>
      <c r="E407" s="44" t="str">
        <f>HYPERLINK("https://natura2000.sopsr.sk/lokality/uev/lokality-uev/?uev=SKUEV0640","Odkaz")</f>
        <v>Odkaz</v>
      </c>
      <c r="F407" s="44" t="str">
        <f>HYPERLINK("https://natura2000.sopsr.sk/wp-content/uploads/natura/legislativa/uev/ciele/SKUEV0640.docx","Spracované")</f>
        <v>Spracované</v>
      </c>
      <c r="G407" s="8" t="s">
        <v>23</v>
      </c>
      <c r="H407" s="9" t="s">
        <v>11</v>
      </c>
      <c r="I407" s="10" t="s">
        <v>61</v>
      </c>
      <c r="J407" s="10" t="s">
        <v>52</v>
      </c>
      <c r="K407" s="38">
        <v>100</v>
      </c>
    </row>
    <row r="408" spans="1:11" ht="23.25" customHeight="1" x14ac:dyDescent="0.25">
      <c r="A408" s="19" t="s">
        <v>882</v>
      </c>
      <c r="B408" s="36" t="s">
        <v>883</v>
      </c>
      <c r="C408" s="7" t="str">
        <f>HYPERLINK("https://data.sopsr.sk/chranene-objekty/chranene-uzemia/detail/SKUEV0641","Papradianka")</f>
        <v>Papradianka</v>
      </c>
      <c r="D408" s="33">
        <v>23.874199999999998</v>
      </c>
      <c r="E408" s="44" t="str">
        <f>HYPERLINK("https://natura2000.sopsr.sk/lokality/uev/lokality-uev/?uev=SKUEV0641","Odkaz")</f>
        <v>Odkaz</v>
      </c>
      <c r="F408" s="44" t="str">
        <f>HYPERLINK("https://natura2000.sopsr.sk/wp-content/uploads/natura/legislativa/uev/ciele/SKUEV0641.docx","Spracované")</f>
        <v>Spracované</v>
      </c>
      <c r="G408" s="10" t="s">
        <v>10</v>
      </c>
      <c r="H408" s="9" t="s">
        <v>11</v>
      </c>
      <c r="I408" s="9" t="s">
        <v>222</v>
      </c>
      <c r="J408" s="9" t="s">
        <v>219</v>
      </c>
      <c r="K408" s="38">
        <v>100</v>
      </c>
    </row>
    <row r="409" spans="1:11" ht="24" customHeight="1" x14ac:dyDescent="0.25">
      <c r="A409" s="19" t="s">
        <v>884</v>
      </c>
      <c r="B409" s="36" t="s">
        <v>885</v>
      </c>
      <c r="C409" s="7" t="str">
        <f>HYPERLINK("https://data.sopsr.sk/chranene-objekty/chranene-uzemia/detail/SKUEV0642","Javornícky hrebeň")</f>
        <v>Javornícky hrebeň</v>
      </c>
      <c r="D409" s="33">
        <v>1359.7478000000001</v>
      </c>
      <c r="E409" s="44" t="str">
        <f>HYPERLINK("https://natura2000.sopsr.sk/lokality/uev/lokality-uev/?uev=SKUEV0642","Odkaz")</f>
        <v>Odkaz</v>
      </c>
      <c r="F409" s="44" t="str">
        <f>HYPERLINK("https://natura2000.sopsr.sk/wp-content/uploads/natura/legislativa/uev/ciele/SKUEV0642.docx","Spracované")</f>
        <v>Spracované</v>
      </c>
      <c r="G409" s="10" t="s">
        <v>10</v>
      </c>
      <c r="H409" s="9" t="s">
        <v>11</v>
      </c>
      <c r="I409" s="9" t="s">
        <v>531</v>
      </c>
      <c r="J409" s="9" t="s">
        <v>219</v>
      </c>
      <c r="K409" s="38">
        <v>100</v>
      </c>
    </row>
    <row r="410" spans="1:11" ht="26.25" customHeight="1" x14ac:dyDescent="0.25">
      <c r="A410" s="19" t="s">
        <v>886</v>
      </c>
      <c r="B410" s="36" t="s">
        <v>887</v>
      </c>
      <c r="C410" s="7" t="str">
        <f>HYPERLINK("https://data.sopsr.sk/chranene-objekty/chranene-uzemia/detail/SKUEV0643","Ráztocké penovcové pramenisko")</f>
        <v>Ráztocké penovcové pramenisko</v>
      </c>
      <c r="D410" s="33">
        <v>0.71309999999999996</v>
      </c>
      <c r="E410" s="44" t="str">
        <f>HYPERLINK("https://natura2000.sopsr.sk/lokality/uev/lokality-uev/?uev=SKUEV0643","Odkaz")</f>
        <v>Odkaz</v>
      </c>
      <c r="F410" s="44" t="str">
        <f>HYPERLINK("https://natura2000.sopsr.sk/wp-content/uploads/natura/legislativa/uev/ciele/SKUEV0643.docx","Spracované")</f>
        <v>Spracované</v>
      </c>
      <c r="G410" s="10" t="s">
        <v>10</v>
      </c>
      <c r="H410" s="9" t="s">
        <v>11</v>
      </c>
      <c r="I410" s="9" t="s">
        <v>127</v>
      </c>
      <c r="J410" s="9" t="s">
        <v>219</v>
      </c>
      <c r="K410" s="38">
        <v>100</v>
      </c>
    </row>
    <row r="411" spans="1:11" x14ac:dyDescent="0.25">
      <c r="A411" s="19" t="s">
        <v>888</v>
      </c>
      <c r="B411" s="36" t="s">
        <v>889</v>
      </c>
      <c r="C411" s="7" t="str">
        <f>HYPERLINK("https://data.sopsr.sk/chranene-objekty/chranene-uzemia/detail/SKUEV0644","Petrovička")</f>
        <v>Petrovička</v>
      </c>
      <c r="D411" s="33">
        <v>16.788900000000002</v>
      </c>
      <c r="E411" s="44" t="str">
        <f>HYPERLINK("https://natura2000.sopsr.sk/lokality/uev/lokality-uev/?uev=SKUEV0644","Odkaz")</f>
        <v>Odkaz</v>
      </c>
      <c r="F411" s="44" t="str">
        <f>HYPERLINK("https://natura2000.sopsr.sk/wp-content/uploads/natura/legislativa/uev/ciele/SKUEV0644.docx","Spracované")</f>
        <v>Spracované</v>
      </c>
      <c r="G411" s="10" t="s">
        <v>10</v>
      </c>
      <c r="H411" s="9" t="s">
        <v>11</v>
      </c>
      <c r="I411" s="9" t="s">
        <v>127</v>
      </c>
      <c r="J411" s="9" t="s">
        <v>219</v>
      </c>
      <c r="K411" s="38">
        <v>100</v>
      </c>
    </row>
    <row r="412" spans="1:11" x14ac:dyDescent="0.25">
      <c r="A412" s="19" t="s">
        <v>890</v>
      </c>
      <c r="B412" s="36" t="s">
        <v>891</v>
      </c>
      <c r="C412" s="7" t="str">
        <f>HYPERLINK("https://data.sopsr.sk/chranene-objekty/chranene-uzemia/detail/SKUEV0647","Bystrické sihly")</f>
        <v>Bystrické sihly</v>
      </c>
      <c r="D412" s="33">
        <v>14.0534</v>
      </c>
      <c r="E412" s="44" t="str">
        <f>HYPERLINK("https://natura2000.sopsr.sk/lokality/uev/lokality-uev/?uev=SKUEV0647","Odkaz")</f>
        <v>Odkaz</v>
      </c>
      <c r="F412" s="44" t="str">
        <f>HYPERLINK("https://natura2000.sopsr.sk/wp-content/uploads/natura/legislativa/uev/ciele/SKUEV0647.docx","Spracované")</f>
        <v>Spracované</v>
      </c>
      <c r="G412" s="10" t="s">
        <v>10</v>
      </c>
      <c r="H412" s="9" t="s">
        <v>11</v>
      </c>
      <c r="I412" s="9" t="s">
        <v>127</v>
      </c>
      <c r="J412" s="9" t="s">
        <v>219</v>
      </c>
      <c r="K412" s="38">
        <v>100</v>
      </c>
    </row>
    <row r="413" spans="1:11" ht="27.75" customHeight="1" x14ac:dyDescent="0.25">
      <c r="A413" s="19" t="s">
        <v>892</v>
      </c>
      <c r="B413" s="36" t="s">
        <v>893</v>
      </c>
      <c r="C413" s="7" t="str">
        <f>HYPERLINK("https://data.sopsr.sk/chranene-objekty/chranene-uzemia/detail/SKUEV0648","Príslop")</f>
        <v>Príslop</v>
      </c>
      <c r="D413" s="33">
        <v>19.326799999999999</v>
      </c>
      <c r="E413" s="44" t="str">
        <f>HYPERLINK("https://natura2000.sopsr.sk/lokality/uev/lokality-uev/?uev=SKUEV0648","Odkaz")</f>
        <v>Odkaz</v>
      </c>
      <c r="F413" s="44" t="str">
        <f>HYPERLINK("https://natura2000.sopsr.sk/wp-content/uploads/natura/legislativa/uev/ciele/SKUEV0648.docx","Spracované")</f>
        <v>Spracované</v>
      </c>
      <c r="G413" s="10" t="s">
        <v>10</v>
      </c>
      <c r="H413" s="9" t="s">
        <v>11</v>
      </c>
      <c r="I413" s="9" t="s">
        <v>127</v>
      </c>
      <c r="J413" s="9" t="s">
        <v>219</v>
      </c>
      <c r="K413" s="38">
        <v>100</v>
      </c>
    </row>
    <row r="414" spans="1:11" ht="27.75" customHeight="1" x14ac:dyDescent="0.25">
      <c r="A414" s="19" t="s">
        <v>894</v>
      </c>
      <c r="B414" s="36" t="s">
        <v>895</v>
      </c>
      <c r="C414" s="7" t="str">
        <f>HYPERLINK("https://data.sopsr.sk/chranene-objekty/chranene-uzemia/detail/SKUEV0655","Predmieranka")</f>
        <v>Predmieranka</v>
      </c>
      <c r="D414" s="33">
        <v>23.174099999999999</v>
      </c>
      <c r="E414" s="44" t="str">
        <f>HYPERLINK("https://natura2000.sopsr.sk/lokality/uev/lokality-uev/?uev=SKUEV0655","Odkaz")</f>
        <v>Odkaz</v>
      </c>
      <c r="F414" s="44" t="str">
        <f>HYPERLINK("https://natura2000.sopsr.sk/wp-content/uploads/natura/legislativa/uev/ciele/SKUEV0655.docx","Spracované")</f>
        <v>Spracované</v>
      </c>
      <c r="G414" s="10" t="s">
        <v>10</v>
      </c>
      <c r="H414" s="9" t="s">
        <v>11</v>
      </c>
      <c r="I414" s="9" t="s">
        <v>127</v>
      </c>
      <c r="J414" s="9" t="s">
        <v>219</v>
      </c>
      <c r="K414" s="38">
        <v>100</v>
      </c>
    </row>
    <row r="415" spans="1:11" ht="17.25" customHeight="1" x14ac:dyDescent="0.25">
      <c r="A415" s="19" t="s">
        <v>896</v>
      </c>
      <c r="B415" s="36" t="s">
        <v>897</v>
      </c>
      <c r="C415" s="7" t="str">
        <f>HYPERLINK("https://data.sopsr.sk/chranene-objekty/chranene-uzemia/detail/SKUEV0657","Malý Polom")</f>
        <v>Malý Polom</v>
      </c>
      <c r="D415" s="33">
        <v>209.18109999999999</v>
      </c>
      <c r="E415" s="44" t="str">
        <f>HYPERLINK("https://natura2000.sopsr.sk/lokality/uev/lokality-uev/?uev=SKUEV0657","Odkaz")</f>
        <v>Odkaz</v>
      </c>
      <c r="F415" s="44" t="str">
        <f>HYPERLINK("https://natura2000.sopsr.sk/wp-content/uploads/natura/legislativa/uev/ciele/SKUEV0657.docx","Spracované")</f>
        <v>Spracované</v>
      </c>
      <c r="G415" s="10" t="s">
        <v>10</v>
      </c>
      <c r="H415" s="9" t="s">
        <v>11</v>
      </c>
      <c r="I415" s="9" t="s">
        <v>127</v>
      </c>
      <c r="J415" s="9" t="s">
        <v>219</v>
      </c>
      <c r="K415" s="38">
        <v>100</v>
      </c>
    </row>
    <row r="416" spans="1:11" x14ac:dyDescent="0.25">
      <c r="A416" s="19" t="s">
        <v>898</v>
      </c>
      <c r="B416" s="36" t="s">
        <v>899</v>
      </c>
      <c r="C416" s="7" t="str">
        <f>HYPERLINK("https://data.sopsr.sk/chranene-objekty/chranene-uzemia/detail/SKUEV0658","Ústie Bielej Oravy")</f>
        <v>Ústie Bielej Oravy</v>
      </c>
      <c r="D416" s="33">
        <v>66.172399999999996</v>
      </c>
      <c r="E416" s="44" t="str">
        <f>HYPERLINK("https://natura2000.sopsr.sk/lokality/uev/lokality-uev/?uev=SKUEV0658","Odkaz")</f>
        <v>Odkaz</v>
      </c>
      <c r="F416" s="44" t="str">
        <f>HYPERLINK("https://natura2000.sopsr.sk/wp-content/uploads/natura/legislativa/uev/ciele/SKUEV0658.docx","Spracované")</f>
        <v>Spracované</v>
      </c>
      <c r="G416" s="10" t="s">
        <v>10</v>
      </c>
      <c r="H416" s="9" t="s">
        <v>11</v>
      </c>
      <c r="I416" s="9" t="s">
        <v>127</v>
      </c>
      <c r="J416" s="9" t="s">
        <v>128</v>
      </c>
      <c r="K416" s="38">
        <v>100</v>
      </c>
    </row>
    <row r="417" spans="1:11" x14ac:dyDescent="0.25">
      <c r="A417" s="19" t="s">
        <v>900</v>
      </c>
      <c r="B417" s="36" t="s">
        <v>901</v>
      </c>
      <c r="C417" s="7" t="str">
        <f>HYPERLINK("https://data.sopsr.sk/chranene-objekty/chranene-uzemia/detail/SKUEV0659","Koleňová")</f>
        <v>Koleňová</v>
      </c>
      <c r="D417" s="33">
        <v>77.254300000000001</v>
      </c>
      <c r="E417" s="44" t="str">
        <f>HYPERLINK("https://natura2000.sopsr.sk/lokality/uev/lokality-uev/?uev=SKUEV0659","Odkaz")</f>
        <v>Odkaz</v>
      </c>
      <c r="F417" s="44" t="str">
        <f>HYPERLINK("https://natura2000.sopsr.sk/wp-content/uploads/natura/legislativa/uev/ciele/SKUEV0659.docx","Spracované")</f>
        <v>Spracované</v>
      </c>
      <c r="G417" s="10" t="s">
        <v>10</v>
      </c>
      <c r="H417" s="9" t="s">
        <v>11</v>
      </c>
      <c r="I417" s="9" t="s">
        <v>127</v>
      </c>
      <c r="J417" s="9" t="s">
        <v>128</v>
      </c>
      <c r="K417" s="38">
        <v>100</v>
      </c>
    </row>
    <row r="418" spans="1:11" x14ac:dyDescent="0.25">
      <c r="A418" s="19" t="s">
        <v>902</v>
      </c>
      <c r="B418" s="36" t="s">
        <v>903</v>
      </c>
      <c r="C418" s="7" t="str">
        <f>HYPERLINK("https://data.sopsr.sk/chranene-objekty/chranene-uzemia/detail/SKUEV0660","Macangov Beskyd")</f>
        <v>Macangov Beskyd</v>
      </c>
      <c r="D418" s="33">
        <v>16.2332</v>
      </c>
      <c r="E418" s="44" t="str">
        <f>HYPERLINK("https://natura2000.sopsr.sk/lokality/uev/lokality-uev/?uev=SKUEV0660","Odkaz")</f>
        <v>Odkaz</v>
      </c>
      <c r="F418" s="44" t="str">
        <f>HYPERLINK("https://natura2000.sopsr.sk/wp-content/uploads/natura/legislativa/uev/ciele/SKUEV0660.docx","Spracované")</f>
        <v>Spracované</v>
      </c>
      <c r="G418" s="10" t="s">
        <v>10</v>
      </c>
      <c r="H418" s="9" t="s">
        <v>11</v>
      </c>
      <c r="I418" s="9" t="s">
        <v>127</v>
      </c>
      <c r="J418" s="9" t="s">
        <v>128</v>
      </c>
      <c r="K418" s="38">
        <v>100</v>
      </c>
    </row>
    <row r="419" spans="1:11" x14ac:dyDescent="0.25">
      <c r="A419" s="19" t="s">
        <v>904</v>
      </c>
      <c r="B419" s="36" t="s">
        <v>905</v>
      </c>
      <c r="C419" s="7" t="str">
        <f>HYPERLINK("https://data.sopsr.sk/chranene-objekty/chranene-uzemia/detail/SKUEV0661","Hruštínska hoľa")</f>
        <v>Hruštínska hoľa</v>
      </c>
      <c r="D419" s="33">
        <v>148.8467</v>
      </c>
      <c r="E419" s="44" t="str">
        <f>HYPERLINK("https://natura2000.sopsr.sk/lokality/uev/lokality-uev/?uev=SKUEV0661","Odkaz")</f>
        <v>Odkaz</v>
      </c>
      <c r="F419" s="44" t="str">
        <f>HYPERLINK("https://natura2000.sopsr.sk/wp-content/uploads/natura/legislativa/uev/ciele/SKUEV0661.docx","Spracované")</f>
        <v>Spracované</v>
      </c>
      <c r="G419" s="10" t="s">
        <v>10</v>
      </c>
      <c r="H419" s="9" t="s">
        <v>11</v>
      </c>
      <c r="I419" s="9" t="s">
        <v>127</v>
      </c>
      <c r="J419" s="9" t="s">
        <v>128</v>
      </c>
      <c r="K419" s="38">
        <v>100</v>
      </c>
    </row>
    <row r="420" spans="1:11" x14ac:dyDescent="0.25">
      <c r="A420" s="19" t="s">
        <v>906</v>
      </c>
      <c r="B420" s="36" t="s">
        <v>907</v>
      </c>
      <c r="C420" s="7" t="str">
        <f>HYPERLINK("https://data.sopsr.sk/chranene-objekty/chranene-uzemia/detail/SKUEV0662","Vasiľovská hoľa")</f>
        <v>Vasiľovská hoľa</v>
      </c>
      <c r="D420" s="33">
        <v>49.331200000000003</v>
      </c>
      <c r="E420" s="44" t="str">
        <f>HYPERLINK("https://natura2000.sopsr.sk/lokality/uev/lokality-uev/?uev=SKUEV0662","Odkaz")</f>
        <v>Odkaz</v>
      </c>
      <c r="F420" s="44" t="str">
        <f>HYPERLINK("https://natura2000.sopsr.sk/wp-content/uploads/natura/legislativa/uev/ciele/SKUEV0662.docx","Spracované")</f>
        <v>Spracované</v>
      </c>
      <c r="G420" s="10" t="s">
        <v>10</v>
      </c>
      <c r="H420" s="9" t="s">
        <v>11</v>
      </c>
      <c r="I420" s="9" t="s">
        <v>127</v>
      </c>
      <c r="J420" s="9" t="s">
        <v>128</v>
      </c>
      <c r="K420" s="38">
        <v>100</v>
      </c>
    </row>
    <row r="421" spans="1:11" x14ac:dyDescent="0.25">
      <c r="A421" s="19" t="s">
        <v>908</v>
      </c>
      <c r="B421" s="36" t="s">
        <v>909</v>
      </c>
      <c r="C421" s="7" t="str">
        <f>HYPERLINK("https://data.sopsr.sk/chranene-objekty/chranene-uzemia/detail/SKUEV0663","Šíp")</f>
        <v>Šíp</v>
      </c>
      <c r="D421" s="33">
        <v>1794.6357</v>
      </c>
      <c r="E421" s="44" t="str">
        <f>HYPERLINK("https://natura2000.sopsr.sk/lokality/uev/lokality-uev/?uev=SKUEV0663","Odkaz")</f>
        <v>Odkaz</v>
      </c>
      <c r="F421" s="44" t="str">
        <f>HYPERLINK("https://natura2000.sopsr.sk/wp-content/uploads/natura/legislativa/uev/ciele/SKUEV0663.docx","Spracované")</f>
        <v>Spracované</v>
      </c>
      <c r="G421" s="10" t="s">
        <v>10</v>
      </c>
      <c r="H421" s="10" t="s">
        <v>11</v>
      </c>
      <c r="I421" s="9" t="s">
        <v>127</v>
      </c>
      <c r="J421" s="10" t="s">
        <v>465</v>
      </c>
      <c r="K421" s="38">
        <v>100</v>
      </c>
    </row>
    <row r="422" spans="1:11" x14ac:dyDescent="0.25">
      <c r="A422" s="19" t="s">
        <v>910</v>
      </c>
      <c r="B422" s="36" t="s">
        <v>911</v>
      </c>
      <c r="C422" s="7" t="str">
        <f>HYPERLINK("https://data.sopsr.sk/chranene-objekty/chranene-uzemia/detail/SKUEV0664","Uholníky")</f>
        <v>Uholníky</v>
      </c>
      <c r="D422" s="33">
        <v>7.6066000000000003</v>
      </c>
      <c r="E422" s="44" t="str">
        <f>HYPERLINK("https://natura2000.sopsr.sk/lokality/uev/lokality-uev/?uev=SKUEV0664","Odkaz")</f>
        <v>Odkaz</v>
      </c>
      <c r="F422" s="44" t="str">
        <f>HYPERLINK("https://natura2000.sopsr.sk/wp-content/uploads/natura/legislativa/uev/ciele/SKUEV0664.docx","Spracované")</f>
        <v>Spracované</v>
      </c>
      <c r="G422" s="10" t="s">
        <v>10</v>
      </c>
      <c r="H422" s="10" t="s">
        <v>11</v>
      </c>
      <c r="I422" s="9" t="s">
        <v>127</v>
      </c>
      <c r="J422" s="10" t="s">
        <v>465</v>
      </c>
      <c r="K422" s="38">
        <v>100</v>
      </c>
    </row>
    <row r="423" spans="1:11" x14ac:dyDescent="0.25">
      <c r="A423" s="19" t="s">
        <v>912</v>
      </c>
      <c r="B423" s="36" t="s">
        <v>913</v>
      </c>
      <c r="C423" s="7" t="str">
        <f>HYPERLINK("https://data.sopsr.sk/chranene-objekty/chranene-uzemia/detail/SKUEV0665","Strečnianske meandre Váhu")</f>
        <v>Strečnianske meandre Váhu</v>
      </c>
      <c r="D423" s="33">
        <v>65.031300000000002</v>
      </c>
      <c r="E423" s="44" t="str">
        <f>HYPERLINK("https://natura2000.sopsr.sk/lokality/uev/lokality-uev/?uev=SKUEV0665","Odkaz")</f>
        <v>Odkaz</v>
      </c>
      <c r="F423" s="44" t="str">
        <f>HYPERLINK("https://natura2000.sopsr.sk/wp-content/uploads/natura/legislativa/uev/ciele/SKUEV0665.docx","Spracované")</f>
        <v>Spracované</v>
      </c>
      <c r="G423" s="10" t="s">
        <v>10</v>
      </c>
      <c r="H423" s="10" t="s">
        <v>11</v>
      </c>
      <c r="I423" s="9" t="s">
        <v>127</v>
      </c>
      <c r="J423" s="10" t="s">
        <v>465</v>
      </c>
      <c r="K423" s="38">
        <v>100</v>
      </c>
    </row>
    <row r="424" spans="1:11" x14ac:dyDescent="0.25">
      <c r="A424" s="19" t="s">
        <v>914</v>
      </c>
      <c r="B424" s="36" t="s">
        <v>915</v>
      </c>
      <c r="C424" s="7" t="str">
        <f>HYPERLINK("https://data.sopsr.sk/chranene-objekty/chranene-uzemia/detail/SKUEV0667","Slnečné skaly")</f>
        <v>Slnečné skaly</v>
      </c>
      <c r="D424" s="33">
        <v>87.359899999999996</v>
      </c>
      <c r="E424" s="44" t="str">
        <f>HYPERLINK("https://natura2000.sopsr.sk/lokality/uev/lokality-uev/?uev=SKUEV0667","Odkaz")</f>
        <v>Odkaz</v>
      </c>
      <c r="F424" s="44" t="str">
        <f>HYPERLINK("https://natura2000.sopsr.sk/wp-content/uploads/natura/legislativa/uev/ciele/SKUEV0667.docx","Spracované")</f>
        <v>Spracované</v>
      </c>
      <c r="G424" s="10" t="s">
        <v>10</v>
      </c>
      <c r="H424" s="9" t="s">
        <v>11</v>
      </c>
      <c r="I424" s="9" t="s">
        <v>127</v>
      </c>
      <c r="J424" s="9" t="s">
        <v>465</v>
      </c>
      <c r="K424" s="38">
        <v>100</v>
      </c>
    </row>
    <row r="425" spans="1:11" x14ac:dyDescent="0.25">
      <c r="A425" s="19" t="s">
        <v>916</v>
      </c>
      <c r="B425" s="36" t="s">
        <v>917</v>
      </c>
      <c r="C425" s="7" t="str">
        <f>HYPERLINK("https://data.sopsr.sk/chranene-objekty/chranene-uzemia/detail/SKUEV0669","Drieňové")</f>
        <v>Drieňové</v>
      </c>
      <c r="D425" s="33">
        <v>90.908000000000001</v>
      </c>
      <c r="E425" s="44" t="str">
        <f>HYPERLINK("https://natura2000.sopsr.sk/lokality/uev/lokality-uev/?uev=SKUEV0669","Odkaz")</f>
        <v>Odkaz</v>
      </c>
      <c r="F425" s="44" t="str">
        <f>HYPERLINK("https://natura2000.sopsr.sk/wp-content/uploads/natura/legislativa/uev/ciele/SKUEV0669.docx","Spracované")</f>
        <v>Spracované</v>
      </c>
      <c r="G425" s="10" t="s">
        <v>10</v>
      </c>
      <c r="H425" s="9" t="s">
        <v>20</v>
      </c>
      <c r="I425" s="10" t="s">
        <v>61</v>
      </c>
      <c r="J425" s="9" t="s">
        <v>999</v>
      </c>
      <c r="K425" s="38">
        <v>100</v>
      </c>
    </row>
    <row r="426" spans="1:11" ht="19.5" customHeight="1" x14ac:dyDescent="0.25">
      <c r="A426" s="19" t="s">
        <v>918</v>
      </c>
      <c r="B426" s="36" t="s">
        <v>919</v>
      </c>
      <c r="C426" s="7" t="str">
        <f>HYPERLINK("https://data.sopsr.sk/chranene-objekty/chranene-uzemia/detail/SKUEV0671","Olešnianske rašeliniská")</f>
        <v>Olešnianske rašeliniská</v>
      </c>
      <c r="D426" s="33">
        <v>44.877899999999997</v>
      </c>
      <c r="E426" s="44" t="str">
        <f>HYPERLINK("https://natura2000.sopsr.sk/lokality/uev/lokality-uev/?uev=SKUEV0671","Odkaz")</f>
        <v>Odkaz</v>
      </c>
      <c r="F426" s="44" t="str">
        <f>HYPERLINK("https://natura2000.sopsr.sk/wp-content/uploads/natura/legislativa/uev/ciele/SKUEV0671.docx","Spracované")</f>
        <v>Spracované</v>
      </c>
      <c r="G426" s="10" t="s">
        <v>10</v>
      </c>
      <c r="H426" s="9" t="s">
        <v>11</v>
      </c>
      <c r="I426" s="9" t="s">
        <v>127</v>
      </c>
      <c r="J426" s="9" t="s">
        <v>219</v>
      </c>
      <c r="K426" s="38">
        <v>100</v>
      </c>
    </row>
    <row r="427" spans="1:11" x14ac:dyDescent="0.25">
      <c r="A427" s="19" t="s">
        <v>920</v>
      </c>
      <c r="B427" s="36" t="s">
        <v>921</v>
      </c>
      <c r="C427" s="7" t="str">
        <f>HYPERLINK("https://data.sopsr.sk/chranene-objekty/chranene-uzemia/detail/SKUEV0684","Jelšovec")</f>
        <v>Jelšovec</v>
      </c>
      <c r="D427" s="33">
        <v>6.6159999999999997</v>
      </c>
      <c r="E427" s="44" t="str">
        <f>HYPERLINK("https://natura2000.sopsr.sk/lokality/uev/lokality-uev/?uev=SKUEV0684","Odkaz")</f>
        <v>Odkaz</v>
      </c>
      <c r="F427" s="44" t="str">
        <f>HYPERLINK("https://natura2000.sopsr.sk/wp-content/uploads/natura/legislativa/uev/ciele/SKUEV0684.docx","Spracované")</f>
        <v>Spracované</v>
      </c>
      <c r="G427" s="15" t="s">
        <v>10</v>
      </c>
      <c r="H427" s="9" t="s">
        <v>11</v>
      </c>
      <c r="I427" s="10" t="s">
        <v>61</v>
      </c>
      <c r="J427" s="9" t="s">
        <v>34</v>
      </c>
      <c r="K427" s="38">
        <v>100</v>
      </c>
    </row>
    <row r="428" spans="1:11" ht="24" customHeight="1" x14ac:dyDescent="0.25">
      <c r="A428" s="19" t="s">
        <v>922</v>
      </c>
      <c r="B428" s="36" t="s">
        <v>923</v>
      </c>
      <c r="C428" s="7" t="str">
        <f>HYPERLINK("https://data.sopsr.sk/chranene-objekty/chranene-uzemia/detail/SKUEV0694","Vrchslatina")</f>
        <v>Vrchslatina</v>
      </c>
      <c r="D428" s="33">
        <v>17.818999999999999</v>
      </c>
      <c r="E428" s="44" t="str">
        <f>HYPERLINK("https://natura2000.sopsr.sk/lokality/uev/lokality-uev/?uev=SKUEV0694","Odkaz")</f>
        <v>Odkaz</v>
      </c>
      <c r="F428" s="44" t="str">
        <f>HYPERLINK("https://natura2000.sopsr.sk/wp-content/uploads/natura/legislativa/uev/ciele/SKUEV0694.docx","Spracované")</f>
        <v>Spracované</v>
      </c>
      <c r="G428" s="10" t="s">
        <v>10</v>
      </c>
      <c r="H428" s="9" t="s">
        <v>11</v>
      </c>
      <c r="I428" s="10" t="s">
        <v>61</v>
      </c>
      <c r="J428" s="9" t="s">
        <v>34</v>
      </c>
      <c r="K428" s="38">
        <v>100</v>
      </c>
    </row>
    <row r="429" spans="1:11" x14ac:dyDescent="0.25">
      <c r="A429" s="19" t="s">
        <v>924</v>
      </c>
      <c r="B429" s="36" t="s">
        <v>925</v>
      </c>
      <c r="C429" s="7" t="str">
        <f>HYPERLINK("https://data.sopsr.sk/chranene-objekty/chranene-uzemia/detail/SKUEV0695","Rohoznianska jelšina")</f>
        <v>Rohoznianska jelšina</v>
      </c>
      <c r="D429" s="33">
        <v>4.4999000000000002</v>
      </c>
      <c r="E429" s="44" t="str">
        <f>HYPERLINK("https://natura2000.sopsr.sk/lokality/uev/lokality-uev/?uev=SKUEV0695","Odkaz")</f>
        <v>Odkaz</v>
      </c>
      <c r="F429" s="44" t="str">
        <f>HYPERLINK("https://natura2000.sopsr.sk/wp-content/uploads/natura/legislativa/uev/ciele/SKUEV0695.docx","Spracované")</f>
        <v>Spracované</v>
      </c>
      <c r="G429" s="10" t="s">
        <v>10</v>
      </c>
      <c r="H429" s="9" t="s">
        <v>11</v>
      </c>
      <c r="I429" s="10" t="s">
        <v>61</v>
      </c>
      <c r="J429" s="9" t="s">
        <v>34</v>
      </c>
      <c r="K429" s="38">
        <v>100</v>
      </c>
    </row>
    <row r="430" spans="1:11" x14ac:dyDescent="0.25">
      <c r="A430" s="19" t="s">
        <v>926</v>
      </c>
      <c r="B430" s="36" t="s">
        <v>927</v>
      </c>
      <c r="C430" s="7" t="str">
        <f>HYPERLINK("https://data.sopsr.sk/chranene-objekty/chranene-uzemia/detail/SKUEV0708","Primovské skaly")</f>
        <v>Primovské skaly</v>
      </c>
      <c r="D430" s="33">
        <v>7.6063000000000001</v>
      </c>
      <c r="E430" s="44" t="str">
        <f>HYPERLINK("https://natura2000.sopsr.sk/lokality/uev/lokality-uev/?uev=SKUEV0708","Odkaz")</f>
        <v>Odkaz</v>
      </c>
      <c r="F430" s="44" t="str">
        <f>HYPERLINK("https://natura2000.sopsr.sk/wp-content/uploads/natura/legislativa/uev/ciele/SKUEV0708.docx","Spracované")</f>
        <v>Spracované</v>
      </c>
      <c r="G430" s="10" t="s">
        <v>10</v>
      </c>
      <c r="H430" s="9" t="s">
        <v>11</v>
      </c>
      <c r="I430" s="9" t="s">
        <v>55</v>
      </c>
      <c r="J430" s="9" t="s">
        <v>299</v>
      </c>
      <c r="K430" s="38">
        <v>100</v>
      </c>
    </row>
    <row r="431" spans="1:11" x14ac:dyDescent="0.25">
      <c r="A431" s="19" t="s">
        <v>928</v>
      </c>
      <c r="B431" s="36" t="s">
        <v>929</v>
      </c>
      <c r="C431" s="7" t="str">
        <f>HYPERLINK("https://data.sopsr.sk/chranene-objekty/chranene-uzemia/detail/SKUEV0709","Poš")</f>
        <v>Poš</v>
      </c>
      <c r="D431" s="33">
        <v>35.6496</v>
      </c>
      <c r="E431" s="44" t="str">
        <f>HYPERLINK("https://natura2000.sopsr.sk/lokality/uev/lokality-uev/?uev=SKUEV0709","Odkaz")</f>
        <v>Odkaz</v>
      </c>
      <c r="F431" s="44" t="str">
        <f>HYPERLINK("https://natura2000.sopsr.sk/wp-content/uploads/natura/legislativa/uev/ciele/SKUEV0709.docx","Spracované")</f>
        <v>Spracované</v>
      </c>
      <c r="G431" s="10" t="s">
        <v>10</v>
      </c>
      <c r="H431" s="9" t="s">
        <v>11</v>
      </c>
      <c r="I431" s="9" t="s">
        <v>55</v>
      </c>
      <c r="J431" s="9" t="s">
        <v>299</v>
      </c>
      <c r="K431" s="38">
        <v>66</v>
      </c>
    </row>
    <row r="432" spans="1:11" x14ac:dyDescent="0.25">
      <c r="A432" s="19" t="s">
        <v>930</v>
      </c>
      <c r="B432" s="36" t="s">
        <v>931</v>
      </c>
      <c r="C432" s="7" t="str">
        <f>HYPERLINK("https://data.sopsr.sk/chranene-objekty/chranene-uzemia/detail/SKUEV0712","Osturniansky potok")</f>
        <v>Osturniansky potok</v>
      </c>
      <c r="D432" s="33">
        <v>8.3689</v>
      </c>
      <c r="E432" s="44" t="str">
        <f>HYPERLINK("https://natura2000.sopsr.sk/lokality/uev/lokality-uev/?uev=SKUEV0712","Odkaz")</f>
        <v>Odkaz</v>
      </c>
      <c r="F432" s="44" t="str">
        <f>HYPERLINK("https://natura2000.sopsr.sk/wp-content/uploads/natura/legislativa/uev/ciele/SKUEV0712.docx","Spracované")</f>
        <v>Spracované</v>
      </c>
      <c r="G432" s="10" t="s">
        <v>10</v>
      </c>
      <c r="H432" s="9" t="s">
        <v>11</v>
      </c>
      <c r="I432" s="9" t="s">
        <v>55</v>
      </c>
      <c r="J432" s="9" t="s">
        <v>694</v>
      </c>
      <c r="K432" s="38">
        <v>100</v>
      </c>
    </row>
    <row r="433" spans="1:11" x14ac:dyDescent="0.25">
      <c r="A433" s="19" t="s">
        <v>932</v>
      </c>
      <c r="B433" s="36" t="s">
        <v>933</v>
      </c>
      <c r="C433" s="7" t="str">
        <f>HYPERLINK("https://data.sopsr.sk/chranene-objekty/chranene-uzemia/detail/SKUEV0728","Podpoľana")</f>
        <v>Podpoľana</v>
      </c>
      <c r="D433" s="33">
        <v>16.070900000000002</v>
      </c>
      <c r="E433" s="44" t="str">
        <f>HYPERLINK("https://natura2000.sopsr.sk/lokality/uev/lokality-uev/?uev=SKUEV0728","Odkaz")</f>
        <v>Odkaz</v>
      </c>
      <c r="F433" s="44" t="str">
        <f>HYPERLINK("https://natura2000.sopsr.sk/wp-content/uploads/natura/legislativa/uev/ciele/SKUEV0728.docx","Spracované")</f>
        <v>Spracované</v>
      </c>
      <c r="G433" s="14" t="s">
        <v>23</v>
      </c>
      <c r="H433" s="9" t="s">
        <v>11</v>
      </c>
      <c r="I433" s="10" t="s">
        <v>61</v>
      </c>
      <c r="J433" s="9" t="s">
        <v>934</v>
      </c>
      <c r="K433" s="38">
        <v>100</v>
      </c>
    </row>
    <row r="434" spans="1:11" x14ac:dyDescent="0.25">
      <c r="A434" s="19" t="s">
        <v>935</v>
      </c>
      <c r="B434" s="36" t="s">
        <v>936</v>
      </c>
      <c r="C434" s="7" t="str">
        <f>HYPERLINK("https://data.sopsr.sk/chranene-objekty/chranene-uzemia/detail/SKUEV0729","Rosiarka")</f>
        <v>Rosiarka</v>
      </c>
      <c r="D434" s="33">
        <v>6.1223999999999998</v>
      </c>
      <c r="E434" s="44" t="str">
        <f>HYPERLINK("https://natura2000.sopsr.sk/lokality/uev/lokality-uev/?uev=SKUEV0729","Odkaz")</f>
        <v>Odkaz</v>
      </c>
      <c r="F434" s="44" t="str">
        <f>HYPERLINK("https://natura2000.sopsr.sk/wp-content/uploads/natura/legislativa/uev/ciele/SKUEV0729.docx","Spracované")</f>
        <v>Spracované</v>
      </c>
      <c r="G434" s="10" t="s">
        <v>10</v>
      </c>
      <c r="H434" s="9" t="s">
        <v>11</v>
      </c>
      <c r="I434" s="10" t="s">
        <v>61</v>
      </c>
      <c r="J434" s="9" t="s">
        <v>934</v>
      </c>
      <c r="K434" s="38">
        <v>100</v>
      </c>
    </row>
    <row r="435" spans="1:11" x14ac:dyDescent="0.25">
      <c r="A435" s="19" t="s">
        <v>937</v>
      </c>
      <c r="B435" s="36" t="s">
        <v>938</v>
      </c>
      <c r="C435" s="7" t="str">
        <f>HYPERLINK("https://data.sopsr.sk/chranene-objekty/chranene-uzemia/detail/SKUEV0730","Hodošov les")</f>
        <v>Hodošov les</v>
      </c>
      <c r="D435" s="33">
        <v>21.566700000000001</v>
      </c>
      <c r="E435" s="44" t="str">
        <f>HYPERLINK("https://natura2000.sopsr.sk/lokality/uev/lokality-uev/?uev=SKUEV0730","Odkaz")</f>
        <v>Odkaz</v>
      </c>
      <c r="F435" s="44" t="str">
        <f>HYPERLINK("https://natura2000.sopsr.sk/wp-content/uploads/natura/legislativa/uev/ciele/SKUEV0730.docx","Spracované")</f>
        <v>Spracované</v>
      </c>
      <c r="G435" s="10" t="s">
        <v>10</v>
      </c>
      <c r="H435" s="9" t="s">
        <v>11</v>
      </c>
      <c r="I435" s="10" t="s">
        <v>61</v>
      </c>
      <c r="J435" s="9" t="s">
        <v>934</v>
      </c>
      <c r="K435" s="38">
        <v>100</v>
      </c>
    </row>
    <row r="436" spans="1:11" x14ac:dyDescent="0.25">
      <c r="A436" s="19" t="s">
        <v>939</v>
      </c>
      <c r="B436" s="36" t="s">
        <v>940</v>
      </c>
      <c r="C436" s="7" t="str">
        <f>HYPERLINK("https://data.sopsr.sk/chranene-objekty/chranene-uzemia/detail/SKUEV0737","Palanta")</f>
        <v>Palanta</v>
      </c>
      <c r="D436" s="33">
        <v>778.38400000000001</v>
      </c>
      <c r="E436" s="44" t="str">
        <f>HYPERLINK("https://natura2000.sopsr.sk/lokality/uev/lokality-uev/?uev=SKUEV0737","Odkaz")</f>
        <v>Odkaz</v>
      </c>
      <c r="F436" s="44" t="str">
        <f>HYPERLINK("https://natura2000.sopsr.sk/wp-content/uploads/natura/legislativa/uev/ciele/SKUEV0737.docx","Spracované")</f>
        <v>Spracované</v>
      </c>
      <c r="G436" s="10" t="s">
        <v>10</v>
      </c>
      <c r="H436" s="9" t="s">
        <v>11</v>
      </c>
      <c r="I436" s="10" t="s">
        <v>64</v>
      </c>
      <c r="J436" s="9" t="s">
        <v>592</v>
      </c>
      <c r="K436" s="38">
        <v>100</v>
      </c>
    </row>
    <row r="437" spans="1:11" x14ac:dyDescent="0.25">
      <c r="A437" s="19" t="s">
        <v>941</v>
      </c>
      <c r="B437" s="36" t="s">
        <v>942</v>
      </c>
      <c r="C437" s="7" t="str">
        <f>HYPERLINK("https://data.sopsr.sk/chranene-objekty/chranene-uzemia/detail/SKUEV0754","Stebnícka Magura")</f>
        <v>Stebnícka Magura</v>
      </c>
      <c r="D437" s="33">
        <v>185.13990000000001</v>
      </c>
      <c r="E437" s="44" t="str">
        <f>HYPERLINK("https://natura2000.sopsr.sk/lokality/uev/lokality-uev/?uev=SKUEV0754","Odkaz")</f>
        <v>Odkaz</v>
      </c>
      <c r="F437" s="44" t="str">
        <f>HYPERLINK("https://natura2000.sopsr.sk/wp-content/uploads/natura/legislativa/uev/ciele/SKUEV0754.docx","Spracované")</f>
        <v>Spracované</v>
      </c>
      <c r="G437" s="10" t="s">
        <v>10</v>
      </c>
      <c r="H437" s="9" t="s">
        <v>11</v>
      </c>
      <c r="I437" s="9" t="s">
        <v>55</v>
      </c>
      <c r="J437" s="10" t="s">
        <v>1401</v>
      </c>
      <c r="K437" s="38">
        <v>100</v>
      </c>
    </row>
    <row r="438" spans="1:11" x14ac:dyDescent="0.25">
      <c r="A438" s="19" t="s">
        <v>943</v>
      </c>
      <c r="B438" s="36" t="s">
        <v>944</v>
      </c>
      <c r="C438" s="7" t="str">
        <f>HYPERLINK("https://data.sopsr.sk/chranene-objekty/chranene-uzemia/detail/SKUEV0755","Regetovské rašelinisko")</f>
        <v>Regetovské rašelinisko</v>
      </c>
      <c r="D438" s="33">
        <v>2.7294</v>
      </c>
      <c r="E438" s="44" t="str">
        <f>HYPERLINK("https://natura2000.sopsr.sk/lokality/uev/lokality-uev/?uev=SKUEV0755","Odkaz")</f>
        <v>Odkaz</v>
      </c>
      <c r="F438" s="44" t="str">
        <f>HYPERLINK("https://natura2000.sopsr.sk/wp-content/uploads/natura/legislativa/uev/ciele/SKUEV0755.docx","Spracované")</f>
        <v>Spracované</v>
      </c>
      <c r="G438" s="10" t="s">
        <v>10</v>
      </c>
      <c r="H438" s="9" t="s">
        <v>11</v>
      </c>
      <c r="I438" s="9" t="s">
        <v>55</v>
      </c>
      <c r="J438" s="10" t="s">
        <v>1401</v>
      </c>
      <c r="K438" s="38">
        <v>94</v>
      </c>
    </row>
    <row r="439" spans="1:11" x14ac:dyDescent="0.25">
      <c r="A439" s="19" t="s">
        <v>945</v>
      </c>
      <c r="B439" s="36" t="s">
        <v>946</v>
      </c>
      <c r="C439" s="7" t="str">
        <f>HYPERLINK("https://data.sopsr.sk/chranene-objekty/chranene-uzemia/detail/SKUEV0759","Horný tok Chotčianky")</f>
        <v>Horný tok Chotčianky</v>
      </c>
      <c r="D439" s="33">
        <v>2.5571000000000002</v>
      </c>
      <c r="E439" s="44" t="str">
        <f>HYPERLINK("https://natura2000.sopsr.sk/lokality/uev/lokality-uev/?uev=SKUEV0759","Odkaz")</f>
        <v>Odkaz</v>
      </c>
      <c r="F439" s="44" t="str">
        <f>HYPERLINK("https://natura2000.sopsr.sk/wp-content/uploads/natura/legislativa/uev/ciele/SKUEV0759.docx","Spracované")</f>
        <v>Spracované</v>
      </c>
      <c r="G439" s="10" t="s">
        <v>10</v>
      </c>
      <c r="H439" s="9" t="s">
        <v>11</v>
      </c>
      <c r="I439" s="9" t="s">
        <v>55</v>
      </c>
      <c r="J439" s="9" t="s">
        <v>27</v>
      </c>
      <c r="K439" s="38">
        <v>100</v>
      </c>
    </row>
    <row r="440" spans="1:11" x14ac:dyDescent="0.25">
      <c r="A440" s="19" t="s">
        <v>947</v>
      </c>
      <c r="B440" s="36" t="s">
        <v>948</v>
      </c>
      <c r="C440" s="7" t="str">
        <f>HYPERLINK("https://data.sopsr.sk/chranene-objekty/chranene-uzemia/detail/SKUEV0761","Vydranka")</f>
        <v>Vydranka</v>
      </c>
      <c r="D440" s="33">
        <v>9.2072000000000003</v>
      </c>
      <c r="E440" s="44" t="str">
        <f>HYPERLINK("https://natura2000.sopsr.sk/lokality/uev/lokality-uev/?uev=SKUEV0761","Odkaz")</f>
        <v>Odkaz</v>
      </c>
      <c r="F440" s="44" t="str">
        <f>HYPERLINK("https://natura2000.sopsr.sk/wp-content/uploads/natura/legislativa/uev/ciele/SKUEV0761.docx","Spracované")</f>
        <v>Spracované</v>
      </c>
      <c r="G440" s="10" t="s">
        <v>10</v>
      </c>
      <c r="H440" s="9" t="s">
        <v>11</v>
      </c>
      <c r="I440" s="9" t="s">
        <v>55</v>
      </c>
      <c r="J440" s="9" t="s">
        <v>27</v>
      </c>
      <c r="K440" s="38">
        <v>100</v>
      </c>
    </row>
    <row r="441" spans="1:11" x14ac:dyDescent="0.25">
      <c r="A441" s="19" t="s">
        <v>949</v>
      </c>
      <c r="B441" s="36" t="s">
        <v>950</v>
      </c>
      <c r="C441" s="7" t="str">
        <f>HYPERLINK("https://data.sopsr.sk/chranene-objekty/chranene-uzemia/detail/SKUEV0763","Horný tok Výravy")</f>
        <v>Horný tok Výravy</v>
      </c>
      <c r="D441" s="33">
        <v>19.464500000000001</v>
      </c>
      <c r="E441" s="44" t="str">
        <f>HYPERLINK("https://natura2000.sopsr.sk/lokality/uev/lokality-uev/?uev=SKUEV0763","Odkaz")</f>
        <v>Odkaz</v>
      </c>
      <c r="F441" s="44" t="str">
        <f>HYPERLINK("https://natura2000.sopsr.sk/wp-content/uploads/natura/legislativa/uev/ciele/SKUEV0763.docx","Spracované")</f>
        <v>Spracované</v>
      </c>
      <c r="G441" s="10" t="s">
        <v>10</v>
      </c>
      <c r="H441" s="9" t="s">
        <v>11</v>
      </c>
      <c r="I441" s="9" t="s">
        <v>55</v>
      </c>
      <c r="J441" s="9" t="s">
        <v>27</v>
      </c>
      <c r="K441" s="38">
        <v>100</v>
      </c>
    </row>
    <row r="442" spans="1:11" ht="23.25" customHeight="1" x14ac:dyDescent="0.25">
      <c r="A442" s="19" t="s">
        <v>951</v>
      </c>
      <c r="B442" s="36" t="s">
        <v>952</v>
      </c>
      <c r="C442" s="7" t="str">
        <f>HYPERLINK("https://data.sopsr.sk/chranene-objekty/chranene-uzemia/detail/SKUEV0777","Starobystrické prenovcové pr")</f>
        <v>Starobystrické prenovcové pr</v>
      </c>
      <c r="D442" s="33">
        <v>10.327</v>
      </c>
      <c r="E442" s="44" t="str">
        <f>HYPERLINK("https://natura2000.sopsr.sk/lokality/uev/lokality-uev/?uev=SKUEV0777","Odkaz")</f>
        <v>Odkaz</v>
      </c>
      <c r="F442" s="44" t="str">
        <f>HYPERLINK("https://natura2000.sopsr.sk/wp-content/uploads/natura/legislativa/uev/ciele/SKUEV0777.docx","Spracované")</f>
        <v>Spracované</v>
      </c>
      <c r="G442" s="10" t="s">
        <v>10</v>
      </c>
      <c r="H442" s="9" t="s">
        <v>11</v>
      </c>
      <c r="I442" s="9" t="s">
        <v>127</v>
      </c>
      <c r="J442" s="9" t="s">
        <v>219</v>
      </c>
      <c r="K442" s="38">
        <v>100</v>
      </c>
    </row>
    <row r="443" spans="1:11" x14ac:dyDescent="0.25">
      <c r="A443" s="19" t="s">
        <v>953</v>
      </c>
      <c r="B443" s="36" t="s">
        <v>954</v>
      </c>
      <c r="C443" s="7" t="str">
        <f>HYPERLINK("https://data.sopsr.sk/chranene-objekty/chranene-uzemia/detail/SKUEV0778","Lipníkovské")</f>
        <v>Lipníkovské</v>
      </c>
      <c r="D443" s="33">
        <v>160.262</v>
      </c>
      <c r="E443" s="44" t="str">
        <f>HYPERLINK("https://natura2000.sopsr.sk/lokality/uev/lokality-uev/?uev=SKUEV0778","Odkaz")</f>
        <v>Odkaz</v>
      </c>
      <c r="F443" s="44" t="str">
        <f>HYPERLINK("https://natura2000.sopsr.sk/wp-content/uploads/natura/legislativa/uev/ciele/SKUEV0778.docx","Spracované")</f>
        <v>Spracované</v>
      </c>
      <c r="G443" s="10" t="s">
        <v>10</v>
      </c>
      <c r="H443" s="9" t="s">
        <v>11</v>
      </c>
      <c r="I443" s="9" t="s">
        <v>222</v>
      </c>
      <c r="J443" s="9" t="s">
        <v>319</v>
      </c>
      <c r="K443" s="38">
        <v>100</v>
      </c>
    </row>
    <row r="444" spans="1:11" x14ac:dyDescent="0.25">
      <c r="A444" s="19" t="s">
        <v>955</v>
      </c>
      <c r="B444" s="36" t="s">
        <v>956</v>
      </c>
      <c r="C444" s="7" t="str">
        <f>HYPERLINK("https://data.sopsr.sk/chranene-objekty/chranene-uzemia/detail/SKUEV0782","Vydrnícka slatina")</f>
        <v>Vydrnícka slatina</v>
      </c>
      <c r="D444" s="33">
        <v>11.836499999999999</v>
      </c>
      <c r="E444" s="44" t="str">
        <f>HYPERLINK("https://natura2000.sopsr.sk/lokality/uev/lokality-uev/?uev=SKUEV0782","Odkaz")</f>
        <v>Odkaz</v>
      </c>
      <c r="F444" s="44" t="str">
        <f>HYPERLINK("https://natura2000.sopsr.sk/wp-content/uploads/natura/legislativa/uev/ciele/SKUEV0782.docx","Spracované")</f>
        <v>Spracované</v>
      </c>
      <c r="G444" s="10" t="s">
        <v>10</v>
      </c>
      <c r="H444" s="9" t="s">
        <v>11</v>
      </c>
      <c r="I444" s="9" t="s">
        <v>55</v>
      </c>
      <c r="J444" s="9" t="s">
        <v>231</v>
      </c>
      <c r="K444" s="38">
        <v>100</v>
      </c>
    </row>
    <row r="445" spans="1:11" x14ac:dyDescent="0.25">
      <c r="A445" s="19" t="s">
        <v>957</v>
      </c>
      <c r="B445" s="36" t="s">
        <v>958</v>
      </c>
      <c r="C445" s="7" t="str">
        <f>HYPERLINK("https://data.sopsr.sk/chranene-objekty/chranene-uzemia/detail/SKUEV0784","Mašianské sysľovisko")</f>
        <v>Mašianské sysľovisko</v>
      </c>
      <c r="D445" s="33">
        <v>20.681000000000001</v>
      </c>
      <c r="E445" s="44" t="str">
        <f>HYPERLINK("https://natura2000.sopsr.sk/lokality/uev/lokality-uev/?uev=SKUEV0784","Odkaz")</f>
        <v>Odkaz</v>
      </c>
      <c r="F445" s="44" t="str">
        <f>HYPERLINK("https://natura2000.sopsr.sk/wp-content/uploads/natura/legislativa/uev/ciele/SKUEV0784.docx","Spracované")</f>
        <v>Spracované</v>
      </c>
      <c r="G445" s="8" t="s">
        <v>23</v>
      </c>
      <c r="H445" s="9" t="s">
        <v>11</v>
      </c>
      <c r="I445" s="10" t="s">
        <v>64</v>
      </c>
      <c r="J445" s="9" t="s">
        <v>231</v>
      </c>
      <c r="K445" s="38">
        <v>100</v>
      </c>
    </row>
    <row r="446" spans="1:11" x14ac:dyDescent="0.25">
      <c r="A446" s="19" t="s">
        <v>959</v>
      </c>
      <c r="B446" s="36" t="s">
        <v>960</v>
      </c>
      <c r="C446" s="7" t="str">
        <f>HYPERLINK("https://data.sopsr.sk/chranene-objekty/chranene-uzemia/detail/SKUEV0785","Havrania dolina")</f>
        <v>Havrania dolina</v>
      </c>
      <c r="D446" s="33">
        <v>10.767099999999999</v>
      </c>
      <c r="E446" s="44" t="str">
        <f>HYPERLINK("https://natura2000.sopsr.sk/lokality/uev/lokality-uev/?uev=SKUEV0785","Odkaz")</f>
        <v>Odkaz</v>
      </c>
      <c r="F446" s="44" t="str">
        <f>HYPERLINK("https://natura2000.sopsr.sk/wp-content/uploads/natura/legislativa/uev/ciele/SKUEV0785.docx","Spracované")</f>
        <v>Spracované</v>
      </c>
      <c r="G446" s="8" t="s">
        <v>23</v>
      </c>
      <c r="H446" s="9" t="s">
        <v>11</v>
      </c>
      <c r="I446" s="10" t="s">
        <v>64</v>
      </c>
      <c r="J446" s="9" t="s">
        <v>231</v>
      </c>
      <c r="K446" s="38">
        <v>100</v>
      </c>
    </row>
    <row r="447" spans="1:11" x14ac:dyDescent="0.25">
      <c r="A447" s="20" t="s">
        <v>961</v>
      </c>
      <c r="B447" s="36" t="s">
        <v>962</v>
      </c>
      <c r="C447" s="7" t="str">
        <f>HYPERLINK("https://data.sopsr.sk/chranene-objekty/chranene-uzemia/detail/SKUEV0800","Devínska hradná skala")</f>
        <v>Devínska hradná skala</v>
      </c>
      <c r="D447" s="33">
        <v>4.3959000000000001</v>
      </c>
      <c r="E447" s="44" t="str">
        <f>HYPERLINK("https://natura2000.sopsr.sk/lokality/uev/lokality-uev/?uev=SKUEV0800","Odkaz")</f>
        <v>Odkaz</v>
      </c>
      <c r="F447" s="44" t="str">
        <f>HYPERLINK("https://natura2000.sopsr.sk/wp-content/uploads/natura/legislativa/uev/ciele/SKUEV0800.docx","Spracované")</f>
        <v>Spracované</v>
      </c>
      <c r="G447" s="23" t="s">
        <v>10</v>
      </c>
      <c r="H447" s="21" t="s">
        <v>963</v>
      </c>
      <c r="I447" s="21" t="s">
        <v>964</v>
      </c>
      <c r="J447" s="9" t="s">
        <v>40</v>
      </c>
      <c r="K447" s="40">
        <v>36</v>
      </c>
    </row>
    <row r="448" spans="1:11" x14ac:dyDescent="0.25">
      <c r="A448" s="20" t="s">
        <v>965</v>
      </c>
      <c r="B448" s="36" t="s">
        <v>966</v>
      </c>
      <c r="C448" s="7" t="str">
        <f>HYPERLINK("https://data.sopsr.sk/chranene-objekty/chranene-uzemia/detail/SKUEV0801","Kurinov vrch")</f>
        <v>Kurinov vrch</v>
      </c>
      <c r="D448" s="33">
        <v>1.2906</v>
      </c>
      <c r="E448" s="44" t="str">
        <f>HYPERLINK("https://natura2000.sopsr.sk/lokality/uev/lokality-uev/?uev=SKUEV0801","Odkaz")</f>
        <v>Odkaz</v>
      </c>
      <c r="F448" s="44" t="str">
        <f>HYPERLINK("https://natura2000.sopsr.sk/wp-content/uploads/natura/legislativa/uev/ciele/SKUEV0801.docx","Spracované")</f>
        <v>Spracované</v>
      </c>
      <c r="G448" s="23" t="s">
        <v>10</v>
      </c>
      <c r="H448" s="21" t="s">
        <v>967</v>
      </c>
      <c r="I448" s="21" t="s">
        <v>968</v>
      </c>
      <c r="J448" s="9" t="s">
        <v>969</v>
      </c>
      <c r="K448" s="40">
        <v>100</v>
      </c>
    </row>
    <row r="449" spans="1:11" x14ac:dyDescent="0.25">
      <c r="A449" s="20" t="s">
        <v>970</v>
      </c>
      <c r="B449" s="36" t="s">
        <v>971</v>
      </c>
      <c r="C449" s="7" t="str">
        <f>HYPERLINK("https://data.sopsr.sk/chranene-objekty/chranene-uzemia/detail/SKUEV0802","Závlačná")</f>
        <v>Závlačná</v>
      </c>
      <c r="D449" s="33">
        <v>10.947699999999999</v>
      </c>
      <c r="E449" s="44" t="str">
        <f>HYPERLINK("https://natura2000.sopsr.sk/lokality/uev/lokality-uev/?uev=SKUEV0802","Odkaz")</f>
        <v>Odkaz</v>
      </c>
      <c r="F449" s="44" t="str">
        <f>HYPERLINK("https://natura2000.sopsr.sk/wp-content/uploads/natura/legislativa/uev/ciele/SKUEV0802.docx","Spracované")</f>
        <v>Spracované</v>
      </c>
      <c r="G449" s="23" t="s">
        <v>10</v>
      </c>
      <c r="H449" s="21" t="s">
        <v>972</v>
      </c>
      <c r="I449" s="21" t="s">
        <v>222</v>
      </c>
      <c r="J449" s="9" t="s">
        <v>973</v>
      </c>
      <c r="K449" s="40">
        <v>100</v>
      </c>
    </row>
    <row r="450" spans="1:11" x14ac:dyDescent="0.25">
      <c r="A450" s="20" t="s">
        <v>974</v>
      </c>
      <c r="B450" s="36" t="s">
        <v>975</v>
      </c>
      <c r="C450" s="7" t="str">
        <f>HYPERLINK("https://data.sopsr.sk/chranene-objekty/chranene-uzemia/detail/SKUEV0803","Hrehorkové")</f>
        <v>Hrehorkové</v>
      </c>
      <c r="D450" s="33">
        <v>11.684200000000001</v>
      </c>
      <c r="E450" s="44" t="str">
        <f>HYPERLINK("https://natura2000.sopsr.sk/lokality/uev/lokality-uev/?uev=SKUEV0803","Odkaz")</f>
        <v>Odkaz</v>
      </c>
      <c r="F450" s="44" t="str">
        <f>HYPERLINK("https://natura2000.sopsr.sk/wp-content/uploads/natura/legislativa/uev/ciele/SKUEV0803.docx","Spracované")</f>
        <v>Spracované</v>
      </c>
      <c r="G450" s="23" t="s">
        <v>10</v>
      </c>
      <c r="H450" s="21" t="s">
        <v>972</v>
      </c>
      <c r="I450" s="21" t="s">
        <v>222</v>
      </c>
      <c r="J450" s="9" t="s">
        <v>319</v>
      </c>
      <c r="K450" s="40">
        <v>100</v>
      </c>
    </row>
    <row r="451" spans="1:11" x14ac:dyDescent="0.25">
      <c r="A451" s="20" t="s">
        <v>976</v>
      </c>
      <c r="B451" s="36" t="s">
        <v>977</v>
      </c>
      <c r="C451" s="7" t="str">
        <f>HYPERLINK("https://data.sopsr.sk/chranene-objekty/chranene-uzemia/detail/SKUEV0804","Javorec")</f>
        <v>Javorec</v>
      </c>
      <c r="D451" s="33">
        <v>34.380899999999997</v>
      </c>
      <c r="E451" s="44" t="str">
        <f>HYPERLINK("https://natura2000.sopsr.sk/lokality/uev/lokality-uev/?uev=SKUEV0804","Odkaz")</f>
        <v>Odkaz</v>
      </c>
      <c r="F451" s="44" t="str">
        <f>HYPERLINK("https://natura2000.sopsr.sk/wp-content/uploads/natura/legislativa/uev/ciele/SKUEV0804.docx","Spracované")</f>
        <v>Spracované</v>
      </c>
      <c r="G451" s="23" t="s">
        <v>10</v>
      </c>
      <c r="H451" s="21" t="s">
        <v>972</v>
      </c>
      <c r="I451" s="24" t="s">
        <v>978</v>
      </c>
      <c r="J451" s="9" t="s">
        <v>319</v>
      </c>
      <c r="K451" s="40">
        <v>100</v>
      </c>
    </row>
    <row r="452" spans="1:11" x14ac:dyDescent="0.25">
      <c r="A452" s="20" t="s">
        <v>979</v>
      </c>
      <c r="B452" s="36" t="s">
        <v>980</v>
      </c>
      <c r="C452" s="7" t="str">
        <f>HYPERLINK("https://data.sopsr.sk/chranene-objekty/chranene-uzemia/detail/SKUEV0805","Hájnica")</f>
        <v>Hájnica</v>
      </c>
      <c r="D452" s="33">
        <v>52.714500000000001</v>
      </c>
      <c r="E452" s="44" t="str">
        <f>HYPERLINK("https://natura2000.sopsr.sk/lokality/uev/lokality-uev/?uev=SKUEV0805","Odkaz")</f>
        <v>Odkaz</v>
      </c>
      <c r="F452" s="44" t="str">
        <f>HYPERLINK("https://natura2000.sopsr.sk/wp-content/uploads/natura/legislativa/uev/ciele/SKUEV0805.docx","Spracované")</f>
        <v>Spracované</v>
      </c>
      <c r="G452" s="23" t="s">
        <v>10</v>
      </c>
      <c r="H452" s="21" t="s">
        <v>972</v>
      </c>
      <c r="I452" s="21" t="s">
        <v>222</v>
      </c>
      <c r="J452" s="9" t="s">
        <v>319</v>
      </c>
      <c r="K452" s="40">
        <v>100</v>
      </c>
    </row>
    <row r="453" spans="1:11" x14ac:dyDescent="0.25">
      <c r="A453" s="20" t="s">
        <v>981</v>
      </c>
      <c r="B453" s="36" t="s">
        <v>982</v>
      </c>
      <c r="C453" s="7" t="str">
        <f>HYPERLINK("https://data.sopsr.sk/chranene-objekty/chranene-uzemia/detail/SKUEV0806","Babiná")</f>
        <v>Babiná</v>
      </c>
      <c r="D453" s="33">
        <v>39.831400000000002</v>
      </c>
      <c r="E453" s="44" t="str">
        <f>HYPERLINK("https://natura2000.sopsr.sk/lokality/uev/lokality-uev/?uev=SKUEV0806","Odkaz")</f>
        <v>Odkaz</v>
      </c>
      <c r="F453" s="44" t="str">
        <f>HYPERLINK("https://natura2000.sopsr.sk/wp-content/uploads/natura/legislativa/uev/ciele/SKUEV0806.docx","Spracované")</f>
        <v>Spracované</v>
      </c>
      <c r="G453" s="23" t="s">
        <v>10</v>
      </c>
      <c r="H453" s="21" t="s">
        <v>972</v>
      </c>
      <c r="I453" s="21" t="s">
        <v>222</v>
      </c>
      <c r="J453" s="9" t="s">
        <v>319</v>
      </c>
      <c r="K453" s="40">
        <v>100</v>
      </c>
    </row>
    <row r="454" spans="1:11" x14ac:dyDescent="0.25">
      <c r="A454" s="20" t="s">
        <v>983</v>
      </c>
      <c r="B454" s="36" t="s">
        <v>984</v>
      </c>
      <c r="C454" s="7" t="str">
        <f>HYPERLINK("https://data.sopsr.sk/chranene-objekty/chranene-uzemia/detail/SKUEV0807","Tomášovica")</f>
        <v>Tomášovica</v>
      </c>
      <c r="D454" s="33">
        <v>6.8993000000000002</v>
      </c>
      <c r="E454" s="44" t="str">
        <f>HYPERLINK("https://natura2000.sopsr.sk/lokality/uev/lokality-uev/?uev=SKUEV0807","Odkaz")</f>
        <v>Odkaz</v>
      </c>
      <c r="F454" s="44" t="str">
        <f>HYPERLINK("https://natura2000.sopsr.sk/wp-content/uploads/natura/legislativa/uev/ciele/SKUEV0807.docx","Spracované")</f>
        <v>Spracované</v>
      </c>
      <c r="G454" s="23" t="s">
        <v>10</v>
      </c>
      <c r="H454" s="21" t="s">
        <v>972</v>
      </c>
      <c r="I454" s="21" t="s">
        <v>222</v>
      </c>
      <c r="J454" s="9" t="s">
        <v>969</v>
      </c>
      <c r="K454" s="40">
        <v>0</v>
      </c>
    </row>
    <row r="455" spans="1:11" x14ac:dyDescent="0.25">
      <c r="A455" s="20" t="s">
        <v>985</v>
      </c>
      <c r="B455" s="36" t="s">
        <v>986</v>
      </c>
      <c r="C455" s="7" t="str">
        <f>HYPERLINK("https://data.sopsr.sk/chranene-objekty/chranene-uzemia/detail/SKUEV0808","Šíravina")</f>
        <v>Šíravina</v>
      </c>
      <c r="D455" s="33">
        <v>12.7468</v>
      </c>
      <c r="E455" s="44" t="str">
        <f>HYPERLINK("https://natura2000.sopsr.sk/lokality/uev/lokality-uev/?uev=SKUEV0808","Odkaz")</f>
        <v>Odkaz</v>
      </c>
      <c r="F455" s="44" t="str">
        <f>HYPERLINK("https://natura2000.sopsr.sk/wp-content/uploads/natura/legislativa/uev/ciele/SKUEV0808.docx","Spracované")</f>
        <v>Spracované</v>
      </c>
      <c r="G455" s="23" t="s">
        <v>10</v>
      </c>
      <c r="H455" s="21" t="s">
        <v>972</v>
      </c>
      <c r="I455" s="21" t="s">
        <v>222</v>
      </c>
      <c r="J455" s="9" t="s">
        <v>319</v>
      </c>
      <c r="K455" s="40">
        <v>0</v>
      </c>
    </row>
    <row r="456" spans="1:11" x14ac:dyDescent="0.25">
      <c r="A456" s="20" t="s">
        <v>987</v>
      </c>
      <c r="B456" s="36" t="s">
        <v>988</v>
      </c>
      <c r="C456" s="7" t="str">
        <f>HYPERLINK("https://data.sopsr.sk/chranene-objekty/chranene-uzemia/detail/SKUEV0809","Šmatlová")</f>
        <v>Šmatlová</v>
      </c>
      <c r="D456" s="33">
        <v>20.7226</v>
      </c>
      <c r="E456" s="44" t="str">
        <f>HYPERLINK("https://natura2000.sopsr.sk/lokality/uev/lokality-uev/?uev=SKUEV0809","Odkaz")</f>
        <v>Odkaz</v>
      </c>
      <c r="F456" s="44" t="str">
        <f>HYPERLINK("https://natura2000.sopsr.sk/wp-content/uploads/natura/legislativa/uev/ciele/SKUEV0809.docx","Spracované")</f>
        <v>Spracované</v>
      </c>
      <c r="G456" s="23" t="s">
        <v>10</v>
      </c>
      <c r="H456" s="21" t="s">
        <v>972</v>
      </c>
      <c r="I456" s="21" t="s">
        <v>222</v>
      </c>
      <c r="J456" s="9" t="s">
        <v>319</v>
      </c>
      <c r="K456" s="40">
        <v>100</v>
      </c>
    </row>
    <row r="457" spans="1:11" x14ac:dyDescent="0.25">
      <c r="A457" s="20" t="s">
        <v>989</v>
      </c>
      <c r="B457" s="36" t="s">
        <v>990</v>
      </c>
      <c r="C457" s="7" t="str">
        <f>HYPERLINK("https://data.sopsr.sk/chranene-objekty/chranene-uzemia/detail/SKUEV0810","Rúbanice")</f>
        <v>Rúbanice</v>
      </c>
      <c r="D457" s="33">
        <v>7.7293000000000003</v>
      </c>
      <c r="E457" s="44" t="str">
        <f>HYPERLINK("https://natura2000.sopsr.sk/lokality/uev/lokality-uev/?uev=SKUEV0810","Odkaz")</f>
        <v>Odkaz</v>
      </c>
      <c r="F457" s="44" t="str">
        <f>HYPERLINK("https://natura2000.sopsr.sk/wp-content/uploads/natura/legislativa/uev/ciele/SKUEV0810.docx","Spracované")</f>
        <v>Spracované</v>
      </c>
      <c r="G457" s="23" t="s">
        <v>10</v>
      </c>
      <c r="H457" s="21" t="s">
        <v>972</v>
      </c>
      <c r="I457" s="21" t="s">
        <v>222</v>
      </c>
      <c r="J457" s="9" t="s">
        <v>319</v>
      </c>
      <c r="K457" s="40">
        <v>0</v>
      </c>
    </row>
    <row r="458" spans="1:11" x14ac:dyDescent="0.25">
      <c r="A458" s="20" t="s">
        <v>991</v>
      </c>
      <c r="B458" s="36" t="s">
        <v>992</v>
      </c>
      <c r="C458" s="7" t="str">
        <f>HYPERLINK("https://data.sopsr.sk/chranene-objekty/chranene-uzemia/detail/SKUEV0811","Omšenská Baba")</f>
        <v>Omšenská Baba</v>
      </c>
      <c r="D458" s="33">
        <v>279.35899999999998</v>
      </c>
      <c r="E458" s="44" t="str">
        <f>HYPERLINK("https://natura2000.sopsr.sk/lokality/uev/lokality-uev/?uev=SKUEV0811","Odkaz")</f>
        <v>Odkaz</v>
      </c>
      <c r="F458" s="44" t="str">
        <f>HYPERLINK("https://natura2000.sopsr.sk/wp-content/uploads/natura/legislativa/uev/ciele/SKUEV0811.docx","Spracované")</f>
        <v>Spracované</v>
      </c>
      <c r="G458" s="23" t="s">
        <v>10</v>
      </c>
      <c r="H458" s="21" t="s">
        <v>972</v>
      </c>
      <c r="I458" s="21" t="s">
        <v>222</v>
      </c>
      <c r="J458" s="9" t="s">
        <v>969</v>
      </c>
      <c r="K458" s="40">
        <v>100</v>
      </c>
    </row>
    <row r="459" spans="1:11" x14ac:dyDescent="0.25">
      <c r="A459" s="20" t="s">
        <v>993</v>
      </c>
      <c r="B459" s="36" t="s">
        <v>994</v>
      </c>
      <c r="C459" s="7" t="str">
        <f>HYPERLINK("https://data.sopsr.sk/chranene-objekty/chranene-uzemia/detail/SKUEV0812","Drietomské bradlo")</f>
        <v>Drietomské bradlo</v>
      </c>
      <c r="D459" s="33">
        <v>9.7962000000000007</v>
      </c>
      <c r="E459" s="44" t="str">
        <f>HYPERLINK("https://natura2000.sopsr.sk/lokality/uev/lokality-uev/?uev=SKUEV0812","Odkaz")</f>
        <v>Odkaz</v>
      </c>
      <c r="F459" s="44" t="str">
        <f>HYPERLINK("https://natura2000.sopsr.sk/wp-content/uploads/natura/legislativa/uev/ciele/SKUEV0812.docx","Spracované")</f>
        <v>Spracované</v>
      </c>
      <c r="G459" s="23" t="s">
        <v>10</v>
      </c>
      <c r="H459" s="21" t="s">
        <v>11</v>
      </c>
      <c r="I459" s="21" t="s">
        <v>968</v>
      </c>
      <c r="J459" s="9" t="s">
        <v>319</v>
      </c>
      <c r="K459" s="40">
        <v>100</v>
      </c>
    </row>
    <row r="460" spans="1:11" x14ac:dyDescent="0.25">
      <c r="A460" s="20" t="s">
        <v>995</v>
      </c>
      <c r="B460" s="36" t="s">
        <v>996</v>
      </c>
      <c r="C460" s="7" t="str">
        <f>HYPERLINK("https://data.sopsr.sk/chranene-objekty/chranene-uzemia/detail/SKUEV0813","Trokanovo")</f>
        <v>Trokanovo</v>
      </c>
      <c r="D460" s="33">
        <v>8.0777000000000001</v>
      </c>
      <c r="E460" s="44" t="str">
        <f>HYPERLINK("https://natura2000.sopsr.sk/lokality/uev/lokality-uev/?uev=SKUEV0813","Odkaz")</f>
        <v>Odkaz</v>
      </c>
      <c r="F460" s="44" t="str">
        <f>HYPERLINK("https://natura2000.sopsr.sk/wp-content/uploads/natura/legislativa/uev/ciele/SKUEV0813.docx","Spracované")</f>
        <v>Spracované</v>
      </c>
      <c r="G460" s="23" t="s">
        <v>10</v>
      </c>
      <c r="H460" s="21" t="s">
        <v>972</v>
      </c>
      <c r="I460" s="21" t="s">
        <v>222</v>
      </c>
      <c r="J460" s="9" t="s">
        <v>319</v>
      </c>
      <c r="K460" s="40">
        <v>100</v>
      </c>
    </row>
    <row r="461" spans="1:11" x14ac:dyDescent="0.25">
      <c r="A461" s="20" t="s">
        <v>997</v>
      </c>
      <c r="B461" s="36" t="s">
        <v>998</v>
      </c>
      <c r="C461" s="7" t="str">
        <f>HYPERLINK("https://data.sopsr.sk/chranene-objekty/chranene-uzemia/detail/SKUEV0814","Hubovo")</f>
        <v>Hubovo</v>
      </c>
      <c r="D461" s="33">
        <v>291.50630000000001</v>
      </c>
      <c r="E461" s="44" t="str">
        <f>HYPERLINK("https://natura2000.sopsr.sk/lokality/uev/lokality-uev/?uev=SKUEV0814","Odkaz")</f>
        <v>Odkaz</v>
      </c>
      <c r="F461" s="44" t="str">
        <f>HYPERLINK("https://natura2000.sopsr.sk/wp-content/uploads/natura/legislativa/uev/ciele/SKUEV0814.docx","Spracované")</f>
        <v>Spracované</v>
      </c>
      <c r="G461" s="23" t="s">
        <v>10</v>
      </c>
      <c r="H461" s="21" t="s">
        <v>963</v>
      </c>
      <c r="I461" s="21" t="s">
        <v>12</v>
      </c>
      <c r="J461" s="9" t="s">
        <v>999</v>
      </c>
      <c r="K461" s="40">
        <v>0</v>
      </c>
    </row>
    <row r="462" spans="1:11" x14ac:dyDescent="0.25">
      <c r="A462" s="20" t="s">
        <v>1000</v>
      </c>
      <c r="B462" s="36" t="s">
        <v>1001</v>
      </c>
      <c r="C462" s="7" t="str">
        <f>HYPERLINK("https://data.sopsr.sk/chranene-objekty/chranene-uzemia/detail/SKUEV0816","Horný tok Ipľa")</f>
        <v>Horný tok Ipľa</v>
      </c>
      <c r="D462" s="33">
        <v>120.56100000000001</v>
      </c>
      <c r="E462" s="44" t="str">
        <f>HYPERLINK("https://natura2000.sopsr.sk/lokality/uev/lokality-uev/?uev=SKUEV0816","Odkaz")</f>
        <v>Odkaz</v>
      </c>
      <c r="F462" s="44" t="str">
        <f>HYPERLINK("https://natura2000.sopsr.sk/wp-content/uploads/natura/legislativa/uev/ciele/SKUEV0816.docx","Spracované")</f>
        <v>Spracované</v>
      </c>
      <c r="G462" s="23" t="s">
        <v>10</v>
      </c>
      <c r="H462" s="21" t="s">
        <v>963</v>
      </c>
      <c r="I462" s="21" t="s">
        <v>12</v>
      </c>
      <c r="J462" s="9" t="s">
        <v>999</v>
      </c>
      <c r="K462" s="40">
        <v>0</v>
      </c>
    </row>
    <row r="463" spans="1:11" x14ac:dyDescent="0.25">
      <c r="A463" s="20" t="s">
        <v>1002</v>
      </c>
      <c r="B463" s="36" t="s">
        <v>1003</v>
      </c>
      <c r="C463" s="7" t="str">
        <f>HYPERLINK("https://data.sopsr.sk/chranene-objekty/chranene-uzemia/detail/SKUEV0817","Rimava a Slaná")</f>
        <v>Rimava a Slaná</v>
      </c>
      <c r="D463" s="33">
        <v>48.387099999999997</v>
      </c>
      <c r="E463" s="44" t="str">
        <f>HYPERLINK("https://natura2000.sopsr.sk/lokality/uev/lokality-uev/?uev=SKUEV0817","Odkaz")</f>
        <v>Odkaz</v>
      </c>
      <c r="F463" s="44" t="str">
        <f>HYPERLINK("https://natura2000.sopsr.sk/wp-content/uploads/natura/legislativa/uev/ciele/SKUEV0817.docx","Spracované")</f>
        <v>Spracované</v>
      </c>
      <c r="G463" s="23" t="s">
        <v>10</v>
      </c>
      <c r="H463" s="21" t="s">
        <v>963</v>
      </c>
      <c r="I463" s="21" t="s">
        <v>12</v>
      </c>
      <c r="J463" s="9" t="s">
        <v>999</v>
      </c>
      <c r="K463" s="40">
        <v>0</v>
      </c>
    </row>
    <row r="464" spans="1:11" x14ac:dyDescent="0.25">
      <c r="A464" s="20" t="s">
        <v>1004</v>
      </c>
      <c r="B464" s="36" t="s">
        <v>1005</v>
      </c>
      <c r="C464" s="7" t="str">
        <f>HYPERLINK("https://data.sopsr.sk/chranene-objekty/chranene-uzemia/detail/SKUEV0819","Vážsky Dunaj")</f>
        <v>Vážsky Dunaj</v>
      </c>
      <c r="D464" s="33">
        <v>778.05880000000002</v>
      </c>
      <c r="E464" s="44" t="str">
        <f>HYPERLINK("https://natura2000.sopsr.sk/lokality/uev/lokality-uev/?uev=SKUEV0819","Odkaz")</f>
        <v>Odkaz</v>
      </c>
      <c r="F464" s="44" t="str">
        <f>HYPERLINK("https://natura2000.sopsr.sk/wp-content/uploads/natura/legislativa/uev/ciele/SKUEV0819.docx","Spracované")</f>
        <v>Spracované</v>
      </c>
      <c r="G464" s="23" t="s">
        <v>10</v>
      </c>
      <c r="H464" s="21" t="s">
        <v>1006</v>
      </c>
      <c r="I464" s="21" t="s">
        <v>39</v>
      </c>
      <c r="J464" s="9" t="s">
        <v>1007</v>
      </c>
      <c r="K464" s="40">
        <v>0</v>
      </c>
    </row>
    <row r="465" spans="1:11" x14ac:dyDescent="0.25">
      <c r="A465" s="20" t="s">
        <v>1008</v>
      </c>
      <c r="B465" s="36" t="s">
        <v>1009</v>
      </c>
      <c r="C465" s="7" t="str">
        <f>HYPERLINK("https://data.sopsr.sk/chranene-objekty/chranene-uzemia/detail/SKUEV0820","Dolný tok Hrona")</f>
        <v>Dolný tok Hrona</v>
      </c>
      <c r="D465" s="33">
        <v>595.59699999999998</v>
      </c>
      <c r="E465" s="44" t="str">
        <f>HYPERLINK("https://natura2000.sopsr.sk/lokality/uev/lokality-uev/?uev=SKUEV0820","Odkaz")</f>
        <v>Odkaz</v>
      </c>
      <c r="F465" s="44" t="str">
        <f>HYPERLINK("https://natura2000.sopsr.sk/wp-content/uploads/natura/legislativa/uev/ciele/SKUEV0820.docx","Spracované")</f>
        <v>Spracované</v>
      </c>
      <c r="G465" s="23" t="s">
        <v>10</v>
      </c>
      <c r="H465" s="21" t="s">
        <v>963</v>
      </c>
      <c r="I465" s="21" t="s">
        <v>1010</v>
      </c>
      <c r="J465" s="9" t="s">
        <v>1007</v>
      </c>
      <c r="K465" s="40">
        <v>0.06</v>
      </c>
    </row>
    <row r="466" spans="1:11" ht="37.5" x14ac:dyDescent="0.25">
      <c r="A466" s="20" t="s">
        <v>1011</v>
      </c>
      <c r="B466" s="36" t="s">
        <v>1012</v>
      </c>
      <c r="C466" s="7" t="str">
        <f>HYPERLINK("https://data.sopsr.sk/chranene-objekty/chranene-uzemia/detail/SKUEV0822","Malý Dunaj")</f>
        <v>Malý Dunaj</v>
      </c>
      <c r="D466" s="33">
        <v>1840.1187</v>
      </c>
      <c r="E466" s="44" t="str">
        <f>HYPERLINK("https://natura2000.sopsr.sk/lokality/uev/lokality-uev/?uev=SKUEV0822","Odkaz")</f>
        <v>Odkaz</v>
      </c>
      <c r="F466" s="44" t="str">
        <f>HYPERLINK("https://natura2000.sopsr.sk/wp-content/uploads/natura/legislativa/uev/ciele/SKUEV0822.docx","Spracované")</f>
        <v>Spracované</v>
      </c>
      <c r="G466" s="23" t="s">
        <v>10</v>
      </c>
      <c r="H466" s="21" t="s">
        <v>963</v>
      </c>
      <c r="I466" s="16" t="s">
        <v>1013</v>
      </c>
      <c r="J466" s="9" t="s">
        <v>1014</v>
      </c>
      <c r="K466" s="40">
        <v>0</v>
      </c>
    </row>
    <row r="467" spans="1:11" x14ac:dyDescent="0.25">
      <c r="A467" s="20" t="s">
        <v>1015</v>
      </c>
      <c r="B467" s="36" t="s">
        <v>1016</v>
      </c>
      <c r="C467" s="7" t="str">
        <f>HYPERLINK("https://data.sopsr.sk/chranene-objekty/chranene-uzemia/detail/SKUEV0823","Sovie vinohrady")</f>
        <v>Sovie vinohrady</v>
      </c>
      <c r="D467" s="33">
        <v>9.7738999999999994</v>
      </c>
      <c r="E467" s="44" t="str">
        <f>HYPERLINK("https://natura2000.sopsr.sk/lokality/uev/lokality-uev/?uev=SKUEV0823","Odkaz")</f>
        <v>Odkaz</v>
      </c>
      <c r="F467" s="44" t="str">
        <f>HYPERLINK("https://natura2000.sopsr.sk/wp-content/uploads/natura/legislativa/uev/ciele/SKUEV0823.docx","Spracované")</f>
        <v>Spracované</v>
      </c>
      <c r="G467" s="23" t="s">
        <v>10</v>
      </c>
      <c r="H467" s="21" t="s">
        <v>963</v>
      </c>
      <c r="I467" s="21" t="s">
        <v>58</v>
      </c>
      <c r="J467" s="9" t="s">
        <v>1007</v>
      </c>
      <c r="K467" s="40">
        <v>52</v>
      </c>
    </row>
    <row r="468" spans="1:11" x14ac:dyDescent="0.25">
      <c r="A468" s="20" t="s">
        <v>1017</v>
      </c>
      <c r="B468" s="36" t="s">
        <v>1018</v>
      </c>
      <c r="C468" s="7" t="str">
        <f>HYPERLINK("https://data.sopsr.sk/chranene-objekty/chranene-uzemia/detail/SKUEV0824","Dolný tok Ipľa")</f>
        <v>Dolný tok Ipľa</v>
      </c>
      <c r="D468" s="33">
        <v>220.46950000000001</v>
      </c>
      <c r="E468" s="44" t="str">
        <f>HYPERLINK("https://natura2000.sopsr.sk/lokality/uev/lokality-uev/?uev=SKUEV0824","Odkaz")</f>
        <v>Odkaz</v>
      </c>
      <c r="F468" s="44" t="str">
        <f>HYPERLINK("https://natura2000.sopsr.sk/wp-content/uploads/natura/legislativa/uev/ciele/SKUEV0824.docx","Spracované")</f>
        <v>Spracované</v>
      </c>
      <c r="G468" s="23" t="s">
        <v>10</v>
      </c>
      <c r="H468" s="21" t="s">
        <v>963</v>
      </c>
      <c r="I468" s="21" t="s">
        <v>39</v>
      </c>
      <c r="J468" s="9" t="s">
        <v>1007</v>
      </c>
      <c r="K468" s="40">
        <v>0</v>
      </c>
    </row>
    <row r="469" spans="1:11" x14ac:dyDescent="0.25">
      <c r="A469" s="20" t="s">
        <v>1019</v>
      </c>
      <c r="B469" s="36" t="s">
        <v>1020</v>
      </c>
      <c r="C469" s="7" t="str">
        <f>HYPERLINK("https://data.sopsr.sk/chranene-objekty/chranene-uzemia/detail/SKUEV0826","Lomnianska hoľa")</f>
        <v>Lomnianska hoľa</v>
      </c>
      <c r="D469" s="33">
        <v>110.17659999999999</v>
      </c>
      <c r="E469" s="44" t="str">
        <f>HYPERLINK("https://natura2000.sopsr.sk/lokality/uev/lokality-uev/?uev=SKUEV0826","Odkaz")</f>
        <v>Odkaz</v>
      </c>
      <c r="F469" s="44" t="str">
        <f>HYPERLINK("https://natura2000.sopsr.sk/wp-content/uploads/natura/legislativa/uev/ciele/SKUEV0826.docx","Spracované")</f>
        <v>Spracované</v>
      </c>
      <c r="G469" s="23" t="s">
        <v>10</v>
      </c>
      <c r="H469" s="21" t="s">
        <v>972</v>
      </c>
      <c r="I469" s="21" t="s">
        <v>127</v>
      </c>
      <c r="J469" s="10" t="s">
        <v>128</v>
      </c>
      <c r="K469" s="40">
        <v>100</v>
      </c>
    </row>
    <row r="470" spans="1:11" x14ac:dyDescent="0.25">
      <c r="A470" s="20" t="s">
        <v>1021</v>
      </c>
      <c r="B470" s="36" t="s">
        <v>1022</v>
      </c>
      <c r="C470" s="7" t="str">
        <f>HYPERLINK("https://data.sopsr.sk/chranene-objekty/chranene-uzemia/detail/SKUEV0828","Vahanov")</f>
        <v>Vahanov</v>
      </c>
      <c r="D470" s="33">
        <v>122.3811</v>
      </c>
      <c r="E470" s="44" t="str">
        <f>HYPERLINK("https://natura2000.sopsr.sk/lokality/uev/lokality-uev/?uev=SKUEV0828","Odkaz")</f>
        <v>Odkaz</v>
      </c>
      <c r="F470" s="44" t="str">
        <f>HYPERLINK("https://natura2000.sopsr.sk/wp-content/uploads/natura/legislativa/uev/ciele/SKUEV0828.docx","Spracované")</f>
        <v>Spracované</v>
      </c>
      <c r="G470" s="23" t="s">
        <v>10</v>
      </c>
      <c r="H470" s="21" t="s">
        <v>967</v>
      </c>
      <c r="I470" s="21" t="s">
        <v>127</v>
      </c>
      <c r="J470" s="10" t="s">
        <v>128</v>
      </c>
      <c r="K470" s="40">
        <v>100</v>
      </c>
    </row>
    <row r="471" spans="1:11" x14ac:dyDescent="0.25">
      <c r="A471" s="20" t="s">
        <v>1023</v>
      </c>
      <c r="B471" s="36" t="s">
        <v>1024</v>
      </c>
      <c r="C471" s="7" t="str">
        <f>HYPERLINK("https://data.sopsr.sk/chranene-objekty/chranene-uzemia/detail/SKUEV0830","Polesie")</f>
        <v>Polesie</v>
      </c>
      <c r="D471" s="33">
        <v>2.7625999999999999</v>
      </c>
      <c r="E471" s="44" t="str">
        <f>HYPERLINK("https://natura2000.sopsr.sk/lokality/uev/lokality-uev/?uev=SKUEV0830","Odkaz")</f>
        <v>Odkaz</v>
      </c>
      <c r="F471" s="44" t="str">
        <f>HYPERLINK("https://natura2000.sopsr.sk/wp-content/uploads/natura/legislativa/uev/ciele/SKUEV0830.docx","Spracované")</f>
        <v>Spracované</v>
      </c>
      <c r="G471" s="23" t="s">
        <v>10</v>
      </c>
      <c r="H471" s="21" t="s">
        <v>972</v>
      </c>
      <c r="I471" s="21" t="s">
        <v>127</v>
      </c>
      <c r="J471" s="9" t="s">
        <v>1025</v>
      </c>
      <c r="K471" s="40">
        <v>0</v>
      </c>
    </row>
    <row r="472" spans="1:11" x14ac:dyDescent="0.25">
      <c r="A472" s="20" t="s">
        <v>1026</v>
      </c>
      <c r="B472" s="36" t="s">
        <v>1027</v>
      </c>
      <c r="C472" s="7" t="str">
        <f>HYPERLINK("https://data.sopsr.sk/chranene-objekty/chranene-uzemia/detail/SKUEV0831","Zemanovská sihla")</f>
        <v>Zemanovská sihla</v>
      </c>
      <c r="D472" s="33">
        <v>9.4413</v>
      </c>
      <c r="E472" s="44" t="str">
        <f>HYPERLINK("https://natura2000.sopsr.sk/lokality/uev/lokality-uev/?uev=SKUEV0831","Odkaz")</f>
        <v>Odkaz</v>
      </c>
      <c r="F472" s="44" t="str">
        <f>HYPERLINK("https://natura2000.sopsr.sk/wp-content/uploads/natura/legislativa/uev/ciele/SKUEV0831.docx","Spracované")</f>
        <v>Spracované</v>
      </c>
      <c r="G472" s="23" t="s">
        <v>10</v>
      </c>
      <c r="H472" s="21" t="s">
        <v>967</v>
      </c>
      <c r="I472" s="21" t="s">
        <v>127</v>
      </c>
      <c r="J472" s="9" t="s">
        <v>1025</v>
      </c>
      <c r="K472" s="40">
        <v>0</v>
      </c>
    </row>
    <row r="473" spans="1:11" x14ac:dyDescent="0.25">
      <c r="A473" s="20" t="s">
        <v>1028</v>
      </c>
      <c r="B473" s="36" t="s">
        <v>1029</v>
      </c>
      <c r="C473" s="7" t="str">
        <f>HYPERLINK("https://data.sopsr.sk/chranene-objekty/chranene-uzemia/detail/SKUEV0832","Alúvium Markovho potoka")</f>
        <v>Alúvium Markovho potoka</v>
      </c>
      <c r="D473" s="33">
        <v>5.5151000000000003</v>
      </c>
      <c r="E473" s="44" t="str">
        <f>HYPERLINK("https://natura2000.sopsr.sk/lokality/uev/lokality-uev/?uev=SKUEV0832","Odkaz")</f>
        <v>Odkaz</v>
      </c>
      <c r="F473" s="44" t="str">
        <f>HYPERLINK("https://natura2000.sopsr.sk/wp-content/uploads/natura/legislativa/uev/ciele/SKUEV0832.docx","Spracované")</f>
        <v>Spracované</v>
      </c>
      <c r="G473" s="23" t="s">
        <v>10</v>
      </c>
      <c r="H473" s="21" t="s">
        <v>972</v>
      </c>
      <c r="I473" s="21" t="s">
        <v>127</v>
      </c>
      <c r="J473" s="9" t="s">
        <v>1030</v>
      </c>
      <c r="K473" s="40">
        <v>0</v>
      </c>
    </row>
    <row r="474" spans="1:11" x14ac:dyDescent="0.25">
      <c r="A474" s="20" t="s">
        <v>1031</v>
      </c>
      <c r="B474" s="36" t="s">
        <v>1032</v>
      </c>
      <c r="C474" s="7" t="str">
        <f>HYPERLINK("https://data.sopsr.sk/chranene-objekty/chranene-uzemia/detail/SKUEV0833","Sútok Kysuce s Bystricou")</f>
        <v>Sútok Kysuce s Bystricou</v>
      </c>
      <c r="D474" s="33">
        <v>44.781399999999998</v>
      </c>
      <c r="E474" s="44" t="str">
        <f>HYPERLINK("https://natura2000.sopsr.sk/lokality/uev/lokality-uev/?uev=SKUEV0833","Odkaz")</f>
        <v>Odkaz</v>
      </c>
      <c r="F474" s="44" t="str">
        <f>HYPERLINK("https://natura2000.sopsr.sk/wp-content/uploads/natura/legislativa/uev/ciele/SKUEV0833.docx","Spracované")</f>
        <v>Spracované</v>
      </c>
      <c r="G474" s="23" t="s">
        <v>10</v>
      </c>
      <c r="H474" s="21" t="s">
        <v>967</v>
      </c>
      <c r="I474" s="21" t="s">
        <v>127</v>
      </c>
      <c r="J474" s="9" t="s">
        <v>1025</v>
      </c>
      <c r="K474" s="40">
        <v>0</v>
      </c>
    </row>
    <row r="475" spans="1:11" x14ac:dyDescent="0.25">
      <c r="A475" s="20" t="s">
        <v>1033</v>
      </c>
      <c r="B475" s="36" t="s">
        <v>1034</v>
      </c>
      <c r="C475" s="7" t="str">
        <f>HYPERLINK("https://data.sopsr.sk/chranene-objekty/chranene-uzemia/detail/SKUEV0834","Ľadonhora")</f>
        <v>Ľadonhora</v>
      </c>
      <c r="D475" s="33">
        <v>574.59469999999999</v>
      </c>
      <c r="E475" s="44" t="str">
        <f>HYPERLINK("https://natura2000.sopsr.sk/lokality/uev/lokality-uev/?uev=SKUEV0834","Odkaz")</f>
        <v>Odkaz</v>
      </c>
      <c r="F475" s="44" t="str">
        <f>HYPERLINK("https://natura2000.sopsr.sk/wp-content/uploads/natura/legislativa/uev/ciele/SKUEV0834.docx","Spracované")</f>
        <v>Spracované</v>
      </c>
      <c r="G475" s="23" t="s">
        <v>10</v>
      </c>
      <c r="H475" s="21" t="s">
        <v>972</v>
      </c>
      <c r="I475" s="21" t="s">
        <v>1035</v>
      </c>
      <c r="J475" s="9" t="s">
        <v>219</v>
      </c>
      <c r="K475" s="40">
        <v>45.8</v>
      </c>
    </row>
    <row r="476" spans="1:11" x14ac:dyDescent="0.25">
      <c r="A476" s="20" t="s">
        <v>1036</v>
      </c>
      <c r="B476" s="36" t="s">
        <v>1037</v>
      </c>
      <c r="C476" s="7" t="str">
        <f>HYPERLINK("https://data.sopsr.sk/chranene-objekty/chranene-uzemia/detail/SKUEV0835","Stredný tok Bystrice")</f>
        <v>Stredný tok Bystrice</v>
      </c>
      <c r="D476" s="33">
        <v>10.7904</v>
      </c>
      <c r="E476" s="44" t="str">
        <f>HYPERLINK("https://natura2000.sopsr.sk/lokality/uev/lokality-uev/?uev=SKUEV0835","Odkaz")</f>
        <v>Odkaz</v>
      </c>
      <c r="F476" s="44" t="str">
        <f>HYPERLINK("https://natura2000.sopsr.sk/wp-content/uploads/natura/legislativa/uev/ciele/SKUEV0835.docx","Spracované")</f>
        <v>Spracované</v>
      </c>
      <c r="G476" s="23" t="s">
        <v>10</v>
      </c>
      <c r="H476" s="21" t="s">
        <v>972</v>
      </c>
      <c r="I476" s="21" t="s">
        <v>127</v>
      </c>
      <c r="J476" s="9" t="s">
        <v>219</v>
      </c>
      <c r="K476" s="40">
        <v>35</v>
      </c>
    </row>
    <row r="477" spans="1:11" x14ac:dyDescent="0.25">
      <c r="A477" s="20" t="s">
        <v>1038</v>
      </c>
      <c r="B477" s="36" t="s">
        <v>1039</v>
      </c>
      <c r="C477" s="7" t="str">
        <f>HYPERLINK("https://data.sopsr.sk/chranene-objekty/chranene-uzemia/detail/SKUEV0836","Zákopčianske lúky")</f>
        <v>Zákopčianske lúky</v>
      </c>
      <c r="D477" s="33">
        <v>23.281099999999999</v>
      </c>
      <c r="E477" s="44" t="str">
        <f>HYPERLINK("https://natura2000.sopsr.sk/lokality/uev/lokality-uev/?uev=SKUEV0836","Odkaz")</f>
        <v>Odkaz</v>
      </c>
      <c r="F477" s="44" t="str">
        <f>HYPERLINK("https://natura2000.sopsr.sk/wp-content/uploads/natura/legislativa/uev/ciele/SKUEV0836.docx","Spracované")</f>
        <v>Spracované</v>
      </c>
      <c r="G477" s="23" t="s">
        <v>10</v>
      </c>
      <c r="H477" s="21" t="s">
        <v>967</v>
      </c>
      <c r="I477" s="21" t="s">
        <v>127</v>
      </c>
      <c r="J477" s="9" t="s">
        <v>1025</v>
      </c>
      <c r="K477" s="40">
        <v>0</v>
      </c>
    </row>
    <row r="478" spans="1:11" x14ac:dyDescent="0.25">
      <c r="A478" s="20" t="s">
        <v>1040</v>
      </c>
      <c r="B478" s="36" t="s">
        <v>1041</v>
      </c>
      <c r="C478" s="7" t="str">
        <f>HYPERLINK("https://data.sopsr.sk/chranene-objekty/chranene-uzemia/detail/SKUEV0838","Rakovsko-milošovské rašeliniská")</f>
        <v>Rakovsko-milošovské rašeliniská</v>
      </c>
      <c r="D478" s="33">
        <v>11.5183</v>
      </c>
      <c r="E478" s="44" t="str">
        <f>HYPERLINK("https://natura2000.sopsr.sk/lokality/uev/lokality-uev/?uev=SKUEV0838","Odkaz")</f>
        <v>Odkaz</v>
      </c>
      <c r="F478" s="44" t="str">
        <f>HYPERLINK("https://natura2000.sopsr.sk/wp-content/uploads/natura/legislativa/uev/ciele/SKUEV0838.docx","Spracované")</f>
        <v>Spracované</v>
      </c>
      <c r="G478" s="23" t="s">
        <v>10</v>
      </c>
      <c r="H478" s="21" t="s">
        <v>972</v>
      </c>
      <c r="I478" s="21" t="s">
        <v>1035</v>
      </c>
      <c r="J478" s="9" t="s">
        <v>219</v>
      </c>
      <c r="K478" s="40">
        <v>41</v>
      </c>
    </row>
    <row r="479" spans="1:11" ht="26.25" customHeight="1" x14ac:dyDescent="0.25">
      <c r="A479" s="20" t="s">
        <v>1042</v>
      </c>
      <c r="B479" s="36" t="s">
        <v>1043</v>
      </c>
      <c r="C479" s="7" t="str">
        <f>HYPERLINK("https://data.sopsr.sk/chranene-objekty/chranene-uzemia/detail/SKUEV0839","Kolárovické lúky")</f>
        <v>Kolárovické lúky</v>
      </c>
      <c r="D479" s="33">
        <v>12.4574</v>
      </c>
      <c r="E479" s="44" t="str">
        <f>HYPERLINK("https://natura2000.sopsr.sk/lokality/uev/lokality-uev/?uev=SKUEV0839","Odkaz")</f>
        <v>Odkaz</v>
      </c>
      <c r="F479" s="44" t="str">
        <f>HYPERLINK("https://natura2000.sopsr.sk/wp-content/uploads/natura/legislativa/uev/ciele/SKUEV0839.docx","Spracované")</f>
        <v>Spracované</v>
      </c>
      <c r="G479" s="23" t="s">
        <v>10</v>
      </c>
      <c r="H479" s="21" t="s">
        <v>972</v>
      </c>
      <c r="I479" s="21" t="s">
        <v>1035</v>
      </c>
      <c r="J479" s="9" t="s">
        <v>1025</v>
      </c>
      <c r="K479" s="40">
        <v>100</v>
      </c>
    </row>
    <row r="480" spans="1:11" x14ac:dyDescent="0.25">
      <c r="A480" s="20" t="s">
        <v>1044</v>
      </c>
      <c r="B480" s="36" t="s">
        <v>1045</v>
      </c>
      <c r="C480" s="7" t="str">
        <f>HYPERLINK("https://data.sopsr.sk/chranene-objekty/chranene-uzemia/detail/SKUEV0841","Dolný tok Tople")</f>
        <v>Dolný tok Tople</v>
      </c>
      <c r="D480" s="33">
        <v>13.716200000000001</v>
      </c>
      <c r="E480" s="44" t="str">
        <f>HYPERLINK("https://natura2000.sopsr.sk/lokality/uev/lokality-uev/?uev=SKUEV0841","Odkaz")</f>
        <v>Odkaz</v>
      </c>
      <c r="F480" s="44" t="str">
        <f>HYPERLINK("https://natura2000.sopsr.sk/wp-content/uploads/natura/legislativa/uev/ciele/SKUEV0841.docx","Spracované")</f>
        <v>Spracované</v>
      </c>
      <c r="G480" s="23" t="s">
        <v>10</v>
      </c>
      <c r="H480" s="21" t="s">
        <v>1006</v>
      </c>
      <c r="I480" s="21" t="s">
        <v>21</v>
      </c>
      <c r="J480" s="9" t="s">
        <v>22</v>
      </c>
      <c r="K480" s="40">
        <v>0</v>
      </c>
    </row>
    <row r="481" spans="1:11" x14ac:dyDescent="0.25">
      <c r="A481" s="20" t="s">
        <v>1046</v>
      </c>
      <c r="B481" s="36" t="s">
        <v>1047</v>
      </c>
      <c r="C481" s="7" t="str">
        <f>HYPERLINK("https://data.sopsr.sk/chranene-objekty/chranene-uzemia/detail/SKUEV0843","Dolný tok Ondavy")</f>
        <v>Dolný tok Ondavy</v>
      </c>
      <c r="D481" s="33">
        <v>79.019499999999994</v>
      </c>
      <c r="E481" s="44" t="str">
        <f>HYPERLINK("https://natura2000.sopsr.sk/lokality/uev/lokality-uev/?uev=SKUEV0843","Odkaz")</f>
        <v>Odkaz</v>
      </c>
      <c r="F481" s="44" t="str">
        <f>HYPERLINK("https://natura2000.sopsr.sk/wp-content/uploads/natura/legislativa/uev/ciele/SKUEV0843.docx","Spracované")</f>
        <v>Spracované</v>
      </c>
      <c r="G481" s="23" t="s">
        <v>10</v>
      </c>
      <c r="H481" s="21" t="s">
        <v>1006</v>
      </c>
      <c r="I481" s="21" t="s">
        <v>21</v>
      </c>
      <c r="J481" s="9" t="s">
        <v>1048</v>
      </c>
      <c r="K481" s="40">
        <v>40</v>
      </c>
    </row>
    <row r="482" spans="1:11" x14ac:dyDescent="0.25">
      <c r="A482" s="20" t="s">
        <v>1049</v>
      </c>
      <c r="B482" s="36" t="s">
        <v>1050</v>
      </c>
      <c r="C482" s="7" t="str">
        <f>HYPERLINK("https://data.sopsr.sk/chranene-objekty/chranene-uzemia/detail/SKUEV0844","Dolný tok Laborca")</f>
        <v>Dolný tok Laborca</v>
      </c>
      <c r="D482" s="33">
        <v>99.297499999999999</v>
      </c>
      <c r="E482" s="44" t="str">
        <f>HYPERLINK("https://natura2000.sopsr.sk/lokality/uev/lokality-uev/?uev=SKUEV0844","Odkaz")</f>
        <v>Odkaz</v>
      </c>
      <c r="F482" s="44" t="str">
        <f>HYPERLINK("https://natura2000.sopsr.sk/wp-content/uploads/natura/legislativa/uev/ciele/SKUEV0844.docx","Spracované")</f>
        <v>Spracované</v>
      </c>
      <c r="G482" s="23" t="s">
        <v>10</v>
      </c>
      <c r="H482" s="21" t="s">
        <v>1006</v>
      </c>
      <c r="I482" s="21" t="s">
        <v>64</v>
      </c>
      <c r="J482" s="9" t="s">
        <v>1051</v>
      </c>
      <c r="K482" s="40">
        <v>27</v>
      </c>
    </row>
    <row r="483" spans="1:11" x14ac:dyDescent="0.25">
      <c r="A483" s="20" t="s">
        <v>1052</v>
      </c>
      <c r="B483" s="36" t="s">
        <v>1053</v>
      </c>
      <c r="C483" s="7" t="str">
        <f>HYPERLINK("https://data.sopsr.sk/chranene-objekty/chranene-uzemia/detail/SKUEV0845","Bačkovská dolina")</f>
        <v>Bačkovská dolina</v>
      </c>
      <c r="D483" s="33">
        <v>223.0342</v>
      </c>
      <c r="E483" s="44" t="str">
        <f>HYPERLINK("https://natura2000.sopsr.sk/lokality/uev/lokality-uev/?uev=SKUEV0845","Odkaz")</f>
        <v>Odkaz</v>
      </c>
      <c r="F483" s="44" t="str">
        <f>HYPERLINK("https://natura2000.sopsr.sk/wp-content/uploads/natura/legislativa/uev/ciele/SKUEV0845.docx","Spracované")</f>
        <v>Spracované</v>
      </c>
      <c r="G483" s="23" t="s">
        <v>10</v>
      </c>
      <c r="H483" s="21" t="s">
        <v>972</v>
      </c>
      <c r="I483" s="21" t="s">
        <v>64</v>
      </c>
      <c r="J483" s="9" t="s">
        <v>1054</v>
      </c>
      <c r="K483" s="40">
        <v>100</v>
      </c>
    </row>
    <row r="484" spans="1:11" x14ac:dyDescent="0.25">
      <c r="A484" s="20" t="s">
        <v>1055</v>
      </c>
      <c r="B484" s="36" t="s">
        <v>1056</v>
      </c>
      <c r="C484" s="7" t="str">
        <f>HYPERLINK("https://data.sopsr.sk/chranene-objekty/chranene-uzemia/detail/SKUEV0846","Tisa")</f>
        <v>Tisa</v>
      </c>
      <c r="D484" s="33">
        <v>83.411500000000004</v>
      </c>
      <c r="E484" s="44" t="str">
        <f>HYPERLINK("https://natura2000.sopsr.sk/lokality/uev/lokality-uev/?uev=SKUEV0846","Odkaz")</f>
        <v>Odkaz</v>
      </c>
      <c r="F484" s="44" t="str">
        <f>HYPERLINK("https://natura2000.sopsr.sk/wp-content/uploads/natura/legislativa/uev/ciele/SKUEV0846.docx","Spracované")</f>
        <v>Spracované</v>
      </c>
      <c r="G484" s="23" t="s">
        <v>10</v>
      </c>
      <c r="H484" s="21" t="s">
        <v>963</v>
      </c>
      <c r="I484" s="21" t="s">
        <v>64</v>
      </c>
      <c r="J484" s="9" t="s">
        <v>1057</v>
      </c>
      <c r="K484" s="40">
        <v>0</v>
      </c>
    </row>
    <row r="485" spans="1:11" x14ac:dyDescent="0.25">
      <c r="A485" s="20" t="s">
        <v>1058</v>
      </c>
      <c r="B485" s="36" t="s">
        <v>1059</v>
      </c>
      <c r="C485" s="7" t="str">
        <f>HYPERLINK("https://data.sopsr.sk/chranene-objekty/chranene-uzemia/detail/SKUEV0847","Pozdišovský chrbát")</f>
        <v>Pozdišovský chrbát</v>
      </c>
      <c r="D485" s="33">
        <v>112.1519</v>
      </c>
      <c r="E485" s="44" t="str">
        <f>HYPERLINK("https://natura2000.sopsr.sk/lokality/uev/lokality-uev/?uev=SKUEV0847","Odkaz")</f>
        <v>Odkaz</v>
      </c>
      <c r="F485" s="44" t="str">
        <f>HYPERLINK("https://natura2000.sopsr.sk/wp-content/uploads/natura/legislativa/uev/ciele/SKUEV0847.docx","Spracované")</f>
        <v>Spracované</v>
      </c>
      <c r="G485" s="23" t="s">
        <v>10</v>
      </c>
      <c r="H485" s="21" t="s">
        <v>972</v>
      </c>
      <c r="I485" s="21" t="s">
        <v>21</v>
      </c>
      <c r="J485" s="9" t="s">
        <v>444</v>
      </c>
      <c r="K485" s="40">
        <v>0</v>
      </c>
    </row>
    <row r="486" spans="1:11" x14ac:dyDescent="0.25">
      <c r="A486" s="20" t="s">
        <v>1060</v>
      </c>
      <c r="B486" s="36" t="s">
        <v>1061</v>
      </c>
      <c r="C486" s="7" t="str">
        <f>HYPERLINK("https://data.sopsr.sk/chranene-objekty/chranene-uzemia/detail/SKUEV0852","Váh pri Hlohovci")</f>
        <v>Váh pri Hlohovci</v>
      </c>
      <c r="D486" s="33">
        <v>123.52249999999999</v>
      </c>
      <c r="E486" s="44" t="str">
        <f>HYPERLINK("https://natura2000.sopsr.sk/lokality/uev/lokality-uev/?uev=SKUEV0852","Odkaz")</f>
        <v>Odkaz</v>
      </c>
      <c r="F486" s="44" t="str">
        <f>HYPERLINK("https://natura2000.sopsr.sk/wp-content/uploads/natura/legislativa/uev/ciele/SKUEV0852.docx","Spracované")</f>
        <v>Spracované</v>
      </c>
      <c r="G486" s="23" t="s">
        <v>10</v>
      </c>
      <c r="H486" s="21" t="s">
        <v>972</v>
      </c>
      <c r="I486" s="21" t="s">
        <v>167</v>
      </c>
      <c r="J486" s="9" t="s">
        <v>225</v>
      </c>
      <c r="K486" s="40">
        <v>9.27</v>
      </c>
    </row>
    <row r="487" spans="1:11" x14ac:dyDescent="0.25">
      <c r="A487" s="20" t="s">
        <v>1062</v>
      </c>
      <c r="B487" s="36" t="s">
        <v>1063</v>
      </c>
      <c r="C487" s="7" t="str">
        <f>HYPERLINK("https://data.sopsr.sk/chranene-objekty/chranene-uzemia/detail/SKUEV0853","Chtelnické sysľovisko")</f>
        <v>Chtelnické sysľovisko</v>
      </c>
      <c r="D487" s="33">
        <v>73.194100000000006</v>
      </c>
      <c r="E487" s="44" t="str">
        <f>HYPERLINK("https://natura2000.sopsr.sk/lokality/uev/lokality-uev/?uev=SKUEV0853","Odkaz")</f>
        <v>Odkaz</v>
      </c>
      <c r="F487" s="44" t="str">
        <f>HYPERLINK("https://natura2000.sopsr.sk/wp-content/uploads/natura/legislativa/uev/ciele/SKUEV0853.docx","Spracované")</f>
        <v>Spracované</v>
      </c>
      <c r="G487" s="23" t="s">
        <v>10</v>
      </c>
      <c r="H487" s="21" t="s">
        <v>967</v>
      </c>
      <c r="I487" s="21" t="s">
        <v>167</v>
      </c>
      <c r="J487" s="9" t="s">
        <v>1064</v>
      </c>
      <c r="K487" s="40">
        <v>88</v>
      </c>
    </row>
    <row r="488" spans="1:11" x14ac:dyDescent="0.25">
      <c r="A488" s="20" t="s">
        <v>1065</v>
      </c>
      <c r="B488" s="36" t="s">
        <v>1066</v>
      </c>
      <c r="C488" s="7" t="str">
        <f>HYPERLINK("https://data.sopsr.sk/chranene-objekty/chranene-uzemia/detail/SKUEV0855","Dedkovo")</f>
        <v>Dedkovo</v>
      </c>
      <c r="D488" s="33">
        <v>15.5036</v>
      </c>
      <c r="E488" s="44" t="str">
        <f>HYPERLINK("https://natura2000.sopsr.sk/lokality/uev/lokality-uev/?uev=SKUEV0855","Odkaz")</f>
        <v>Odkaz</v>
      </c>
      <c r="F488" s="44" t="str">
        <f>HYPERLINK("https://natura2000.sopsr.sk/wp-content/uploads/natura/legislativa/uev/ciele/SKUEV0855.docx","Spracované")</f>
        <v>Spracované</v>
      </c>
      <c r="G488" s="23" t="s">
        <v>10</v>
      </c>
      <c r="H488" s="21" t="s">
        <v>1067</v>
      </c>
      <c r="I488" s="21" t="s">
        <v>1068</v>
      </c>
      <c r="J488" s="9" t="s">
        <v>1069</v>
      </c>
      <c r="K488" s="40">
        <v>0</v>
      </c>
    </row>
    <row r="489" spans="1:11" ht="28.5" customHeight="1" x14ac:dyDescent="0.25">
      <c r="A489" s="20" t="s">
        <v>1070</v>
      </c>
      <c r="B489" s="36" t="s">
        <v>1071</v>
      </c>
      <c r="C489" s="7" t="str">
        <f>HYPERLINK("https://data.sopsr.sk/chranene-objekty/chranene-uzemia/detail/SKUEV0856","Dolná Zálomská")</f>
        <v>Dolná Zálomská</v>
      </c>
      <c r="D489" s="33">
        <v>7.5351999999999997</v>
      </c>
      <c r="E489" s="44" t="str">
        <f>HYPERLINK("https://natura2000.sopsr.sk/lokality/uev/lokality-uev/?uev=SKUEV0856","Odkaz")</f>
        <v>Odkaz</v>
      </c>
      <c r="F489" s="44" t="str">
        <f>HYPERLINK("https://natura2000.sopsr.sk/wp-content/uploads/natura/legislativa/uev/ciele/SKUEV0856.docx","Spracované")</f>
        <v>Spracované</v>
      </c>
      <c r="G489" s="23" t="s">
        <v>10</v>
      </c>
      <c r="H489" s="21" t="s">
        <v>972</v>
      </c>
      <c r="I489" s="21" t="s">
        <v>61</v>
      </c>
      <c r="J489" s="9" t="s">
        <v>1069</v>
      </c>
      <c r="K489" s="40">
        <v>100</v>
      </c>
    </row>
    <row r="490" spans="1:11" x14ac:dyDescent="0.25">
      <c r="A490" s="20" t="s">
        <v>1072</v>
      </c>
      <c r="B490" s="36" t="s">
        <v>1073</v>
      </c>
      <c r="C490" s="7" t="str">
        <f>HYPERLINK("https://data.sopsr.sk/chranene-objekty/chranene-uzemia/detail/SKUEV0857","Mičinské travertíny")</f>
        <v>Mičinské travertíny</v>
      </c>
      <c r="D490" s="33">
        <v>4.0583999999999998</v>
      </c>
      <c r="E490" s="44" t="str">
        <f>HYPERLINK("https://natura2000.sopsr.sk/lokality/uev/lokality-uev/?uev=SKUEV0857","Odkaz")</f>
        <v>Odkaz</v>
      </c>
      <c r="F490" s="44" t="str">
        <f>HYPERLINK("https://natura2000.sopsr.sk/wp-content/uploads/natura/legislativa/uev/ciele/SKUEV0857.docx","Spracované")</f>
        <v>Spracované</v>
      </c>
      <c r="G490" s="23" t="s">
        <v>10</v>
      </c>
      <c r="H490" s="21" t="s">
        <v>972</v>
      </c>
      <c r="I490" s="21" t="s">
        <v>61</v>
      </c>
      <c r="J490" s="9" t="s">
        <v>1069</v>
      </c>
      <c r="K490" s="40">
        <v>100</v>
      </c>
    </row>
    <row r="491" spans="1:11" x14ac:dyDescent="0.25">
      <c r="A491" s="20" t="s">
        <v>1074</v>
      </c>
      <c r="B491" s="36" t="s">
        <v>1075</v>
      </c>
      <c r="C491" s="7" t="str">
        <f>HYPERLINK("https://data.sopsr.sk/chranene-objekty/chranene-uzemia/detail/SKUEV0858","Horná skala")</f>
        <v>Horná skala</v>
      </c>
      <c r="D491" s="33">
        <v>121.1187</v>
      </c>
      <c r="E491" s="44" t="str">
        <f>HYPERLINK("https://natura2000.sopsr.sk/lokality/uev/lokality-uev/?uev=SKUEV0858","Odkaz")</f>
        <v>Odkaz</v>
      </c>
      <c r="F491" s="44" t="str">
        <f>HYPERLINK("https://natura2000.sopsr.sk/wp-content/uploads/natura/legislativa/uev/ciele/SKUEV0858.docx","Spracované")</f>
        <v>Spracované</v>
      </c>
      <c r="G491" s="23" t="s">
        <v>10</v>
      </c>
      <c r="H491" s="21" t="s">
        <v>972</v>
      </c>
      <c r="I491" s="21" t="s">
        <v>61</v>
      </c>
      <c r="J491" s="9" t="s">
        <v>34</v>
      </c>
      <c r="K491" s="40">
        <v>0</v>
      </c>
    </row>
    <row r="492" spans="1:11" x14ac:dyDescent="0.25">
      <c r="A492" s="20" t="s">
        <v>1076</v>
      </c>
      <c r="B492" s="36" t="s">
        <v>1077</v>
      </c>
      <c r="C492" s="7" t="str">
        <f>HYPERLINK("https://data.sopsr.sk/chranene-objekty/chranene-uzemia/detail/SKUEV0859","Ľubietovské dúbravy")</f>
        <v>Ľubietovské dúbravy</v>
      </c>
      <c r="D492" s="33">
        <v>26.4801</v>
      </c>
      <c r="E492" s="44" t="str">
        <f>HYPERLINK("https://natura2000.sopsr.sk/lokality/uev/lokality-uev/?uev=SKUEV0859","Odkaz")</f>
        <v>Odkaz</v>
      </c>
      <c r="F492" s="44" t="str">
        <f>HYPERLINK("https://natura2000.sopsr.sk/wp-content/uploads/natura/legislativa/uev/ciele/SKUEV0859.docx","Spracované")</f>
        <v>Spracované</v>
      </c>
      <c r="G492" s="23" t="s">
        <v>10</v>
      </c>
      <c r="H492" s="21" t="s">
        <v>972</v>
      </c>
      <c r="I492" s="21" t="s">
        <v>61</v>
      </c>
      <c r="J492" s="9" t="s">
        <v>34</v>
      </c>
      <c r="K492" s="40">
        <v>0</v>
      </c>
    </row>
    <row r="493" spans="1:11" x14ac:dyDescent="0.25">
      <c r="A493" s="20" t="s">
        <v>1078</v>
      </c>
      <c r="B493" s="36" t="s">
        <v>1079</v>
      </c>
      <c r="C493" s="7" t="str">
        <f>HYPERLINK("https://data.sopsr.sk/chranene-objekty/chranene-uzemia/detail/SKUEV0860","Iliašská dolina")</f>
        <v>Iliašská dolina</v>
      </c>
      <c r="D493" s="33">
        <v>101.9508</v>
      </c>
      <c r="E493" s="44" t="str">
        <f>HYPERLINK("https://natura2000.sopsr.sk/lokality/uev/lokality-uev/?uev=SKUEV0860","Odkaz")</f>
        <v>Odkaz</v>
      </c>
      <c r="F493" s="44" t="str">
        <f>HYPERLINK("https://natura2000.sopsr.sk/wp-content/uploads/natura/legislativa/uev/ciele/SKUEV0860.docx","Spracované")</f>
        <v>Spracované</v>
      </c>
      <c r="G493" s="23" t="s">
        <v>10</v>
      </c>
      <c r="H493" s="21" t="s">
        <v>972</v>
      </c>
      <c r="I493" s="21" t="s">
        <v>61</v>
      </c>
      <c r="J493" s="9" t="s">
        <v>1069</v>
      </c>
      <c r="K493" s="40">
        <v>0</v>
      </c>
    </row>
    <row r="494" spans="1:11" x14ac:dyDescent="0.25">
      <c r="A494" s="20" t="s">
        <v>1080</v>
      </c>
      <c r="B494" s="36" t="s">
        <v>1081</v>
      </c>
      <c r="C494" s="7" t="str">
        <f>HYPERLINK("https://data.sopsr.sk/chranene-objekty/chranene-uzemia/detail/SKUEV0861","Riečanské lúky")</f>
        <v>Riečanské lúky</v>
      </c>
      <c r="D494" s="33">
        <v>17.168500000000002</v>
      </c>
      <c r="E494" s="44" t="str">
        <f>HYPERLINK("https://natura2000.sopsr.sk/lokality/uev/lokality-uev/?uev=SKUEV0861","Odkaz")</f>
        <v>Odkaz</v>
      </c>
      <c r="F494" s="44" t="str">
        <f>HYPERLINK("https://natura2000.sopsr.sk/wp-content/uploads/natura/legislativa/uev/ciele/SKUEV0861.docx","Spracované")</f>
        <v>Spracované</v>
      </c>
      <c r="G494" s="23" t="s">
        <v>10</v>
      </c>
      <c r="H494" s="21" t="s">
        <v>972</v>
      </c>
      <c r="I494" s="21" t="s">
        <v>61</v>
      </c>
      <c r="J494" s="9" t="s">
        <v>1069</v>
      </c>
      <c r="K494" s="40">
        <v>0</v>
      </c>
    </row>
    <row r="495" spans="1:11" x14ac:dyDescent="0.25">
      <c r="A495" s="20" t="s">
        <v>1082</v>
      </c>
      <c r="B495" s="36" t="s">
        <v>1083</v>
      </c>
      <c r="C495" s="7" t="str">
        <f>HYPERLINK("https://data.sopsr.sk/chranene-objekty/chranene-uzemia/detail/SKUEV0862","Predajnianska slatina")</f>
        <v>Predajnianska slatina</v>
      </c>
      <c r="D495" s="33">
        <v>19.691400000000002</v>
      </c>
      <c r="E495" s="44" t="str">
        <f>HYPERLINK("https://natura2000.sopsr.sk/lokality/uev/lokality-uev/?uev=SKUEV0862","Odkaz")</f>
        <v>Odkaz</v>
      </c>
      <c r="F495" s="44" t="str">
        <f>HYPERLINK("https://natura2000.sopsr.sk/wp-content/uploads/natura/legislativa/uev/ciele/SKUEV0862.docx","Spracované")</f>
        <v>Spracované</v>
      </c>
      <c r="G495" s="23" t="s">
        <v>10</v>
      </c>
      <c r="H495" s="21" t="s">
        <v>972</v>
      </c>
      <c r="I495" s="21" t="s">
        <v>61</v>
      </c>
      <c r="J495" s="9" t="s">
        <v>1069</v>
      </c>
      <c r="K495" s="40">
        <v>65</v>
      </c>
    </row>
    <row r="496" spans="1:11" x14ac:dyDescent="0.25">
      <c r="A496" s="20" t="s">
        <v>1084</v>
      </c>
      <c r="B496" s="36" t="s">
        <v>1085</v>
      </c>
      <c r="C496" s="7" t="str">
        <f>HYPERLINK("https://data.sopsr.sk/chranene-objekty/chranene-uzemia/detail/SKUEV0863","Nad Kostolnicou")</f>
        <v>Nad Kostolnicou</v>
      </c>
      <c r="D496" s="33">
        <v>20.254100000000001</v>
      </c>
      <c r="E496" s="44" t="str">
        <f>HYPERLINK("https://natura2000.sopsr.sk/lokality/uev/lokality-uev/?uev=SKUEV0863","Odkaz")</f>
        <v>Odkaz</v>
      </c>
      <c r="F496" s="44" t="str">
        <f>HYPERLINK("https://natura2000.sopsr.sk/wp-content/uploads/natura/legislativa/uev/ciele/SKUEV0863.docx","Spracované")</f>
        <v>Spracované</v>
      </c>
      <c r="G496" s="23" t="s">
        <v>10</v>
      </c>
      <c r="H496" s="21" t="s">
        <v>972</v>
      </c>
      <c r="I496" s="21" t="s">
        <v>61</v>
      </c>
      <c r="J496" s="9" t="s">
        <v>34</v>
      </c>
      <c r="K496" s="40">
        <v>0</v>
      </c>
    </row>
    <row r="497" spans="1:11" x14ac:dyDescent="0.25">
      <c r="A497" s="20" t="s">
        <v>1086</v>
      </c>
      <c r="B497" s="36" t="s">
        <v>1087</v>
      </c>
      <c r="C497" s="7" t="str">
        <f>HYPERLINK("https://data.sopsr.sk/chranene-objekty/chranene-uzemia/detail/SKUEV0864","Holý vŕšok")</f>
        <v>Holý vŕšok</v>
      </c>
      <c r="D497" s="33">
        <v>36.352600000000002</v>
      </c>
      <c r="E497" s="44" t="str">
        <f>HYPERLINK("https://natura2000.sopsr.sk/lokality/uev/lokality-uev/?uev=SKUEV0864","Odkaz")</f>
        <v>Odkaz</v>
      </c>
      <c r="F497" s="44" t="str">
        <f>HYPERLINK("https://natura2000.sopsr.sk/wp-content/uploads/natura/legislativa/uev/ciele/SKUEV0864.docx","Spracované")</f>
        <v>Spracované</v>
      </c>
      <c r="G497" s="23" t="s">
        <v>10</v>
      </c>
      <c r="H497" s="21" t="s">
        <v>972</v>
      </c>
      <c r="I497" s="21" t="s">
        <v>12</v>
      </c>
      <c r="J497" s="9" t="s">
        <v>34</v>
      </c>
      <c r="K497" s="40">
        <v>0</v>
      </c>
    </row>
    <row r="498" spans="1:11" x14ac:dyDescent="0.25">
      <c r="A498" s="20" t="s">
        <v>1088</v>
      </c>
      <c r="B498" s="36" t="s">
        <v>1089</v>
      </c>
      <c r="C498" s="7" t="str">
        <f>HYPERLINK("https://data.sopsr.sk/chranene-objekty/chranene-uzemia/detail/SKUEV0865","Rataj")</f>
        <v>Rataj</v>
      </c>
      <c r="D498" s="33">
        <v>191.26990000000001</v>
      </c>
      <c r="E498" s="44" t="str">
        <f>HYPERLINK("https://natura2000.sopsr.sk/lokality/uev/lokality-uev/?uev=SKUEV0865","Odkaz")</f>
        <v>Odkaz</v>
      </c>
      <c r="F498" s="44" t="str">
        <f>HYPERLINK("https://natura2000.sopsr.sk/wp-content/uploads/natura/legislativa/uev/ciele/SKUEV0865.docx","Spracované")</f>
        <v>Spracované</v>
      </c>
      <c r="G498" s="23" t="s">
        <v>10</v>
      </c>
      <c r="H498" s="16" t="s">
        <v>963</v>
      </c>
      <c r="I498" s="16" t="s">
        <v>1090</v>
      </c>
      <c r="J498" s="9" t="s">
        <v>47</v>
      </c>
      <c r="K498" s="40">
        <v>0</v>
      </c>
    </row>
    <row r="499" spans="1:11" x14ac:dyDescent="0.25">
      <c r="A499" s="20" t="s">
        <v>1091</v>
      </c>
      <c r="B499" s="36" t="s">
        <v>1092</v>
      </c>
      <c r="C499" s="7" t="str">
        <f>HYPERLINK("https://data.sopsr.sk/chranene-objekty/chranene-uzemia/detail/SKUEV0867","Mochovská cerina")</f>
        <v>Mochovská cerina</v>
      </c>
      <c r="D499" s="33">
        <v>858.80430000000001</v>
      </c>
      <c r="E499" s="44" t="str">
        <f>HYPERLINK("https://natura2000.sopsr.sk/lokality/uev/lokality-uev/?uev=SKUEV0867","Odkaz")</f>
        <v>Odkaz</v>
      </c>
      <c r="F499" s="44" t="str">
        <f>HYPERLINK("https://natura2000.sopsr.sk/wp-content/uploads/natura/legislativa/uev/ciele/SKUEV0867.docx","Spracované")</f>
        <v>Spracované</v>
      </c>
      <c r="G499" s="23" t="s">
        <v>10</v>
      </c>
      <c r="H499" s="21" t="s">
        <v>963</v>
      </c>
      <c r="I499" s="21" t="s">
        <v>58</v>
      </c>
      <c r="J499" s="9" t="s">
        <v>47</v>
      </c>
      <c r="K499" s="40">
        <v>0</v>
      </c>
    </row>
    <row r="500" spans="1:11" x14ac:dyDescent="0.25">
      <c r="A500" s="20" t="s">
        <v>1093</v>
      </c>
      <c r="B500" s="36" t="s">
        <v>1094</v>
      </c>
      <c r="C500" s="7" t="str">
        <f>HYPERLINK("https://data.sopsr.sk/chranene-objekty/chranene-uzemia/detail/SKUEV0868","Včelár")</f>
        <v>Včelár</v>
      </c>
      <c r="D500" s="33">
        <v>19.393699999999999</v>
      </c>
      <c r="E500" s="44" t="str">
        <f>HYPERLINK("https://natura2000.sopsr.sk/lokality/uev/lokality-uev/?uev=SKUEV0868","Odkaz")</f>
        <v>Odkaz</v>
      </c>
      <c r="F500" s="44" t="str">
        <f>HYPERLINK("https://natura2000.sopsr.sk/wp-content/uploads/natura/legislativa/uev/ciele/SKUEV0868.docx","Spracované")</f>
        <v>Spracované</v>
      </c>
      <c r="G500" s="23" t="s">
        <v>10</v>
      </c>
      <c r="H500" s="21" t="s">
        <v>972</v>
      </c>
      <c r="I500" s="21" t="s">
        <v>39</v>
      </c>
      <c r="J500" s="9" t="s">
        <v>47</v>
      </c>
      <c r="K500" s="40">
        <v>39</v>
      </c>
    </row>
    <row r="501" spans="1:11" x14ac:dyDescent="0.25">
      <c r="A501" s="20" t="s">
        <v>1095</v>
      </c>
      <c r="B501" s="36" t="s">
        <v>1096</v>
      </c>
      <c r="C501" s="7" t="str">
        <f>HYPERLINK("https://data.sopsr.sk/chranene-objekty/chranene-uzemia/detail/SKUEV0869","Bábsky les")</f>
        <v>Bábsky les</v>
      </c>
      <c r="D501" s="33">
        <v>60.9861</v>
      </c>
      <c r="E501" s="44" t="str">
        <f>HYPERLINK("https://natura2000.sopsr.sk/lokality/uev/lokality-uev/?uev=SKUEV0869","Odkaz")</f>
        <v>Odkaz</v>
      </c>
      <c r="F501" s="44" t="str">
        <f>HYPERLINK("https://natura2000.sopsr.sk/wp-content/uploads/natura/legislativa/uev/ciele/SKUEV0869.docx","Spracované")</f>
        <v>Spracované</v>
      </c>
      <c r="G501" s="23" t="s">
        <v>10</v>
      </c>
      <c r="H501" s="21" t="s">
        <v>963</v>
      </c>
      <c r="I501" s="21" t="s">
        <v>39</v>
      </c>
      <c r="J501" s="9" t="s">
        <v>47</v>
      </c>
      <c r="K501" s="40">
        <v>47</v>
      </c>
    </row>
    <row r="502" spans="1:11" x14ac:dyDescent="0.25">
      <c r="A502" s="20" t="s">
        <v>1097</v>
      </c>
      <c r="B502" s="36" t="s">
        <v>1098</v>
      </c>
      <c r="C502" s="7" t="str">
        <f>HYPERLINK("https://data.sopsr.sk/chranene-objekty/chranene-uzemia/detail/SKUEV0870","Horšianska dolina")</f>
        <v>Horšianska dolina</v>
      </c>
      <c r="D502" s="33">
        <v>181.2921</v>
      </c>
      <c r="E502" s="44" t="str">
        <f>HYPERLINK("https://natura2000.sopsr.sk/lokality/uev/lokality-uev/?uev=SKUEV0870","Odkaz")</f>
        <v>Odkaz</v>
      </c>
      <c r="F502" s="44" t="str">
        <f>HYPERLINK("https://natura2000.sopsr.sk/wp-content/uploads/natura/legislativa/uev/ciele/SKUEV0870.docx","Spracované")</f>
        <v>Spracované</v>
      </c>
      <c r="G502" s="23" t="s">
        <v>10</v>
      </c>
      <c r="H502" s="21" t="s">
        <v>963</v>
      </c>
      <c r="I502" s="21" t="s">
        <v>1010</v>
      </c>
      <c r="J502" s="9" t="s">
        <v>47</v>
      </c>
      <c r="K502" s="40">
        <v>99</v>
      </c>
    </row>
    <row r="503" spans="1:11" x14ac:dyDescent="0.25">
      <c r="A503" s="20" t="s">
        <v>1099</v>
      </c>
      <c r="B503" s="36" t="s">
        <v>1100</v>
      </c>
      <c r="C503" s="7" t="str">
        <f>HYPERLINK("https://data.sopsr.sk/chranene-objekty/chranene-uzemia/detail/SKUEV0871","Biely kameň")</f>
        <v>Biely kameň</v>
      </c>
      <c r="D503" s="33">
        <v>46.048499999999997</v>
      </c>
      <c r="E503" s="44" t="str">
        <f>HYPERLINK("https://natura2000.sopsr.sk/lokality/uev/lokality-uev/?uev=SKUEV0871","Odkaz")</f>
        <v>Odkaz</v>
      </c>
      <c r="F503" s="44" t="str">
        <f>HYPERLINK("https://natura2000.sopsr.sk/wp-content/uploads/natura/legislativa/uev/ciele/SKUEV0871.docx","Spracované")</f>
        <v>Spracované</v>
      </c>
      <c r="G503" s="23" t="s">
        <v>10</v>
      </c>
      <c r="H503" s="21" t="s">
        <v>972</v>
      </c>
      <c r="I503" s="21" t="s">
        <v>222</v>
      </c>
      <c r="J503" s="9" t="s">
        <v>47</v>
      </c>
      <c r="K503" s="40">
        <v>84</v>
      </c>
    </row>
    <row r="504" spans="1:11" x14ac:dyDescent="0.25">
      <c r="A504" s="20" t="s">
        <v>1101</v>
      </c>
      <c r="B504" s="36" t="s">
        <v>1102</v>
      </c>
      <c r="C504" s="7" t="str">
        <f>HYPERLINK("https://data.sopsr.sk/chranene-objekty/chranene-uzemia/detail/SKUEV0872","Jedzina")</f>
        <v>Jedzina</v>
      </c>
      <c r="D504" s="33">
        <v>653.28930000000003</v>
      </c>
      <c r="E504" s="44" t="str">
        <f>HYPERLINK("https://natura2000.sopsr.sk/lokality/uev/lokality-uev/?uev=SKUEV0872","Odkaz")</f>
        <v>Odkaz</v>
      </c>
      <c r="F504" s="44" t="str">
        <f>HYPERLINK("https://natura2000.sopsr.sk/wp-content/uploads/natura/legislativa/uev/ciele/SKUEV0872.docx","Spracované")</f>
        <v>Spracované</v>
      </c>
      <c r="G504" s="23" t="s">
        <v>10</v>
      </c>
      <c r="H504" s="9" t="s">
        <v>91</v>
      </c>
      <c r="I504" s="9" t="s">
        <v>1010</v>
      </c>
      <c r="J504" s="9" t="s">
        <v>47</v>
      </c>
      <c r="K504" s="40">
        <v>0</v>
      </c>
    </row>
    <row r="505" spans="1:11" x14ac:dyDescent="0.25">
      <c r="A505" s="20" t="s">
        <v>1103</v>
      </c>
      <c r="B505" s="36" t="s">
        <v>1104</v>
      </c>
      <c r="C505" s="7" t="str">
        <f>HYPERLINK("https://data.sopsr.sk/chranene-objekty/chranene-uzemia/detail/SKUEV0873","Pohronský Inovec")</f>
        <v>Pohronský Inovec</v>
      </c>
      <c r="D505" s="33">
        <v>453.21510000000001</v>
      </c>
      <c r="E505" s="44" t="str">
        <f>HYPERLINK("https://natura2000.sopsr.sk/lokality/uev/lokality-uev/?uev=SKUEV0873","Odkaz")</f>
        <v>Odkaz</v>
      </c>
      <c r="F505" s="44" t="str">
        <f>HYPERLINK("https://natura2000.sopsr.sk/wp-content/uploads/natura/legislativa/uev/ciele/SKUEV0873.docx","Spracované")</f>
        <v>Spracované</v>
      </c>
      <c r="G505" s="23" t="s">
        <v>10</v>
      </c>
      <c r="H505" s="9" t="s">
        <v>91</v>
      </c>
      <c r="I505" s="9" t="s">
        <v>58</v>
      </c>
      <c r="J505" s="9" t="s">
        <v>47</v>
      </c>
      <c r="K505" s="40">
        <v>0</v>
      </c>
    </row>
    <row r="506" spans="1:11" x14ac:dyDescent="0.25">
      <c r="A506" s="20" t="s">
        <v>1105</v>
      </c>
      <c r="B506" s="36" t="s">
        <v>1106</v>
      </c>
      <c r="C506" s="7" t="str">
        <f>HYPERLINK("https://data.sopsr.sk/chranene-objekty/chranene-uzemia/detail/SKUEV0874","Člnok")</f>
        <v>Člnok</v>
      </c>
      <c r="D506" s="33">
        <v>476.5702</v>
      </c>
      <c r="E506" s="44" t="str">
        <f>HYPERLINK("https://natura2000.sopsr.sk/lokality/uev/lokality-uev/?uev=SKUEV0874","Odkaz")</f>
        <v>Odkaz</v>
      </c>
      <c r="F506" s="44" t="str">
        <f>HYPERLINK("https://natura2000.sopsr.sk/wp-content/uploads/natura/legislativa/uev/ciele/SKUEV0874.docx","Spracované")</f>
        <v>Spracované</v>
      </c>
      <c r="G506" s="23" t="s">
        <v>10</v>
      </c>
      <c r="H506" s="9" t="s">
        <v>91</v>
      </c>
      <c r="I506" s="9" t="s">
        <v>39</v>
      </c>
      <c r="J506" s="9" t="s">
        <v>47</v>
      </c>
      <c r="K506" s="40">
        <v>0</v>
      </c>
    </row>
    <row r="507" spans="1:11" x14ac:dyDescent="0.25">
      <c r="A507" s="20" t="s">
        <v>1107</v>
      </c>
      <c r="B507" s="36" t="s">
        <v>1108</v>
      </c>
      <c r="C507" s="7" t="str">
        <f>HYPERLINK("https://data.sopsr.sk/chranene-objekty/chranene-uzemia/detail/SKUEV0875","Čierny hrad")</f>
        <v>Čierny hrad</v>
      </c>
      <c r="D507" s="33">
        <v>101.0318</v>
      </c>
      <c r="E507" s="44" t="str">
        <f>HYPERLINK("https://natura2000.sopsr.sk/lokality/uev/lokality-uev/?uev=SKUEV0875","Odkaz")</f>
        <v>Odkaz</v>
      </c>
      <c r="F507" s="44" t="str">
        <f>HYPERLINK("https://natura2000.sopsr.sk/wp-content/uploads/natura/legislativa/uev/ciele/SKUEV0875.docx","Spracované")</f>
        <v>Spracované</v>
      </c>
      <c r="G507" s="23" t="s">
        <v>10</v>
      </c>
      <c r="H507" s="21" t="s">
        <v>963</v>
      </c>
      <c r="I507" s="21" t="s">
        <v>39</v>
      </c>
      <c r="J507" s="9" t="s">
        <v>47</v>
      </c>
      <c r="K507" s="40">
        <v>0</v>
      </c>
    </row>
    <row r="508" spans="1:11" x14ac:dyDescent="0.25">
      <c r="A508" s="20" t="s">
        <v>1109</v>
      </c>
      <c r="B508" s="36" t="s">
        <v>1110</v>
      </c>
      <c r="C508" s="7" t="str">
        <f>HYPERLINK("https://data.sopsr.sk/chranene-objekty/chranene-uzemia/detail/SKUEV0876","Horná hora")</f>
        <v>Horná hora</v>
      </c>
      <c r="D508" s="33">
        <v>132.61449999999999</v>
      </c>
      <c r="E508" s="44" t="str">
        <f>HYPERLINK("https://natura2000.sopsr.sk/lokality/uev/lokality-uev/?uev=SKUEV0876","Odkaz")</f>
        <v>Odkaz</v>
      </c>
      <c r="F508" s="44" t="str">
        <f>HYPERLINK("https://natura2000.sopsr.sk/wp-content/uploads/natura/legislativa/uev/ciele/SKUEV0876.docx","Spracované")</f>
        <v>Spracované</v>
      </c>
      <c r="G508" s="23" t="s">
        <v>10</v>
      </c>
      <c r="H508" s="21" t="s">
        <v>963</v>
      </c>
      <c r="I508" s="21" t="s">
        <v>1010</v>
      </c>
      <c r="J508" s="9" t="s">
        <v>47</v>
      </c>
      <c r="K508" s="40">
        <v>0</v>
      </c>
    </row>
    <row r="509" spans="1:11" x14ac:dyDescent="0.25">
      <c r="A509" s="20" t="s">
        <v>1111</v>
      </c>
      <c r="B509" s="36" t="s">
        <v>1112</v>
      </c>
      <c r="C509" s="7" t="str">
        <f>HYPERLINK("https://data.sopsr.sk/chranene-objekty/chranene-uzemia/detail/SKUEV0877","Malý Bahorec")</f>
        <v>Malý Bahorec</v>
      </c>
      <c r="D509" s="33">
        <v>5.9973999999999998</v>
      </c>
      <c r="E509" s="44" t="str">
        <f>HYPERLINK("https://natura2000.sopsr.sk/lokality/uev/lokality-uev/?uev=SKUEV0877","Odkaz")</f>
        <v>Odkaz</v>
      </c>
      <c r="F509" s="44" t="str">
        <f>HYPERLINK("https://natura2000.sopsr.sk/wp-content/uploads/natura/legislativa/uev/ciele/SKUEV0877.docx","Spracované")</f>
        <v>Spracované</v>
      </c>
      <c r="G509" s="23" t="s">
        <v>10</v>
      </c>
      <c r="H509" s="21" t="s">
        <v>972</v>
      </c>
      <c r="I509" s="21" t="s">
        <v>39</v>
      </c>
      <c r="J509" s="9" t="s">
        <v>47</v>
      </c>
      <c r="K509" s="40">
        <v>0</v>
      </c>
    </row>
    <row r="510" spans="1:11" x14ac:dyDescent="0.25">
      <c r="A510" s="20" t="s">
        <v>1113</v>
      </c>
      <c r="B510" s="36" t="s">
        <v>1114</v>
      </c>
      <c r="C510" s="7" t="str">
        <f>HYPERLINK("https://data.sopsr.sk/chranene-objekty/chranene-uzemia/detail/SKUEV0879","Lupka")</f>
        <v>Lupka</v>
      </c>
      <c r="D510" s="33">
        <v>22.629799999999999</v>
      </c>
      <c r="E510" s="44" t="str">
        <f>HYPERLINK("https://natura2000.sopsr.sk/lokality/uev/lokality-uev/?uev=SKUEV0879","Odkaz")</f>
        <v>Odkaz</v>
      </c>
      <c r="F510" s="44" t="str">
        <f>HYPERLINK("https://natura2000.sopsr.sk/wp-content/uploads/natura/legislativa/uev/ciele/SKUEV0879.docx","Spracované")</f>
        <v>Spracované</v>
      </c>
      <c r="G510" s="25" t="s">
        <v>10</v>
      </c>
      <c r="H510" s="21" t="s">
        <v>972</v>
      </c>
      <c r="I510" s="21" t="s">
        <v>1010</v>
      </c>
      <c r="J510" s="9" t="s">
        <v>47</v>
      </c>
      <c r="K510" s="40">
        <v>100</v>
      </c>
    </row>
    <row r="511" spans="1:11" x14ac:dyDescent="0.25">
      <c r="A511" s="20" t="s">
        <v>1115</v>
      </c>
      <c r="B511" s="36" t="s">
        <v>1116</v>
      </c>
      <c r="C511" s="7" t="str">
        <f>HYPERLINK("https://data.sopsr.sk/chranene-objekty/chranene-uzemia/detail/SKUEV0880","Prašická dubina")</f>
        <v>Prašická dubina</v>
      </c>
      <c r="D511" s="33">
        <v>48.372900000000001</v>
      </c>
      <c r="E511" s="44" t="str">
        <f>HYPERLINK("https://natura2000.sopsr.sk/lokality/uev/lokality-uev/?uev=SKUEV0880","Odkaz")</f>
        <v>Odkaz</v>
      </c>
      <c r="F511" s="44" t="str">
        <f>HYPERLINK("https://natura2000.sopsr.sk/wp-content/uploads/natura/legislativa/uev/ciele/SKUEV0880.docx","Spracované")</f>
        <v>Spracované</v>
      </c>
      <c r="G511" s="23" t="s">
        <v>10</v>
      </c>
      <c r="H511" s="21" t="s">
        <v>972</v>
      </c>
      <c r="I511" s="21" t="s">
        <v>39</v>
      </c>
      <c r="J511" s="9" t="s">
        <v>47</v>
      </c>
      <c r="K511" s="40">
        <v>0</v>
      </c>
    </row>
    <row r="512" spans="1:11" x14ac:dyDescent="0.25">
      <c r="A512" s="20" t="s">
        <v>1117</v>
      </c>
      <c r="B512" s="36" t="s">
        <v>1118</v>
      </c>
      <c r="C512" s="7" t="str">
        <f>HYPERLINK("https://data.sopsr.sk/chranene-objekty/chranene-uzemia/detail/SKUEV0881","Dubnička")</f>
        <v>Dubnička</v>
      </c>
      <c r="D512" s="33">
        <v>197.58590000000001</v>
      </c>
      <c r="E512" s="44" t="str">
        <f>HYPERLINK("https://natura2000.sopsr.sk/lokality/uev/lokality-uev/?uev=SKUEV0881","Odkaz")</f>
        <v>Odkaz</v>
      </c>
      <c r="F512" s="44" t="str">
        <f>HYPERLINK("https://natura2000.sopsr.sk/wp-content/uploads/natura/legislativa/uev/ciele/SKUEV0881.docx","Spracované")</f>
        <v>Spracované</v>
      </c>
      <c r="G512" s="23" t="s">
        <v>10</v>
      </c>
      <c r="H512" s="21" t="s">
        <v>11</v>
      </c>
      <c r="I512" s="21" t="s">
        <v>1119</v>
      </c>
      <c r="J512" s="9" t="s">
        <v>47</v>
      </c>
      <c r="K512" s="40">
        <v>0</v>
      </c>
    </row>
    <row r="513" spans="1:11" x14ac:dyDescent="0.25">
      <c r="A513" s="20" t="s">
        <v>1120</v>
      </c>
      <c r="B513" s="36" t="s">
        <v>1121</v>
      </c>
      <c r="C513" s="7" t="str">
        <f>HYPERLINK("https://data.sopsr.sk/chranene-objekty/chranene-uzemia/detail/SKUEV0882","Patianska cerina")</f>
        <v>Patianska cerina</v>
      </c>
      <c r="D513" s="33">
        <v>808.60519999999997</v>
      </c>
      <c r="E513" s="44" t="str">
        <f>HYPERLINK("https://natura2000.sopsr.sk/lokality/uev/lokality-uev/?uev=SKUEV0882","Odkaz")</f>
        <v>Odkaz</v>
      </c>
      <c r="F513" s="44" t="str">
        <f>HYPERLINK("https://natura2000.sopsr.sk/wp-content/uploads/natura/legislativa/uev/ciele/SKUEV0882.docx","Spracované")</f>
        <v>Spracované</v>
      </c>
      <c r="G513" s="23" t="s">
        <v>10</v>
      </c>
      <c r="H513" s="21" t="s">
        <v>20</v>
      </c>
      <c r="I513" s="21" t="s">
        <v>39</v>
      </c>
      <c r="J513" s="9" t="s">
        <v>1122</v>
      </c>
      <c r="K513" s="40">
        <v>4</v>
      </c>
    </row>
    <row r="514" spans="1:11" x14ac:dyDescent="0.25">
      <c r="A514" s="20" t="s">
        <v>1123</v>
      </c>
      <c r="B514" s="36" t="s">
        <v>1124</v>
      </c>
      <c r="C514" s="7" t="str">
        <f>HYPERLINK("https://data.sopsr.sk/chranene-objekty/chranene-uzemia/detail/SKUEV0883","Nitrické vrchy")</f>
        <v>Nitrické vrchy</v>
      </c>
      <c r="D514" s="33">
        <v>1222.8653999999999</v>
      </c>
      <c r="E514" s="44" t="str">
        <f>HYPERLINK("https://natura2000.sopsr.sk/lokality/uev/lokality-uev/?uev=SKUEV0883","Odkaz")</f>
        <v>Odkaz</v>
      </c>
      <c r="F514" s="44" t="str">
        <f>HYPERLINK("https://natura2000.sopsr.sk/wp-content/uploads/natura/legislativa/uev/ciele/SKUEV0883.docx","Spracované")</f>
        <v>Spracované</v>
      </c>
      <c r="G514" s="23" t="s">
        <v>10</v>
      </c>
      <c r="H514" s="21" t="s">
        <v>972</v>
      </c>
      <c r="I514" s="21" t="s">
        <v>968</v>
      </c>
      <c r="J514" s="9" t="s">
        <v>47</v>
      </c>
      <c r="K514" s="40">
        <v>3</v>
      </c>
    </row>
    <row r="515" spans="1:11" x14ac:dyDescent="0.25">
      <c r="A515" s="20" t="s">
        <v>1125</v>
      </c>
      <c r="B515" s="36" t="s">
        <v>1126</v>
      </c>
      <c r="C515" s="7" t="str">
        <f>HYPERLINK("https://data.sopsr.sk/chranene-objekty/chranene-uzemia/detail/SKUEV0885","Meandre Rajčanky")</f>
        <v>Meandre Rajčanky</v>
      </c>
      <c r="D515" s="33">
        <v>2.1286</v>
      </c>
      <c r="E515" s="44" t="str">
        <f>HYPERLINK("https://natura2000.sopsr.sk/lokality/uev/lokality-uev/?uev=SKUEV0885","Odkaz")</f>
        <v>Odkaz</v>
      </c>
      <c r="F515" s="44" t="str">
        <f>HYPERLINK("https://natura2000.sopsr.sk/wp-content/uploads/natura/legislativa/uev/ciele/SKUEV0885.docx","Spracované")</f>
        <v>Spracované</v>
      </c>
      <c r="G515" s="23" t="s">
        <v>10</v>
      </c>
      <c r="H515" s="21" t="s">
        <v>11</v>
      </c>
      <c r="I515" s="21" t="s">
        <v>1127</v>
      </c>
      <c r="J515" s="9" t="s">
        <v>532</v>
      </c>
      <c r="K515" s="40">
        <v>2</v>
      </c>
    </row>
    <row r="516" spans="1:11" x14ac:dyDescent="0.25">
      <c r="A516" s="20" t="s">
        <v>1128</v>
      </c>
      <c r="B516" s="36" t="s">
        <v>1129</v>
      </c>
      <c r="C516" s="7" t="str">
        <f>HYPERLINK("https://data.sopsr.sk/chranene-objekty/chranene-uzemia/detail/SKUEV0889","Medovarské dubiny")</f>
        <v>Medovarské dubiny</v>
      </c>
      <c r="D516" s="33">
        <v>238.77510000000001</v>
      </c>
      <c r="E516" s="44" t="str">
        <f>HYPERLINK("https://natura2000.sopsr.sk/lokality/uev/lokality-uev/?uev=SKUEV0889","Odkaz")</f>
        <v>Odkaz</v>
      </c>
      <c r="F516" s="44" t="str">
        <f>HYPERLINK("https://natura2000.sopsr.sk/wp-content/uploads/natura/legislativa/uev/ciele/SKUEV0889.docx","Spracované")</f>
        <v>Spracované</v>
      </c>
      <c r="G516" s="23" t="s">
        <v>10</v>
      </c>
      <c r="H516" s="9" t="s">
        <v>91</v>
      </c>
      <c r="I516" s="9" t="s">
        <v>61</v>
      </c>
      <c r="J516" s="9" t="s">
        <v>52</v>
      </c>
      <c r="K516" s="40">
        <v>0</v>
      </c>
    </row>
    <row r="517" spans="1:11" x14ac:dyDescent="0.25">
      <c r="A517" s="20" t="s">
        <v>1130</v>
      </c>
      <c r="B517" s="36" t="s">
        <v>1131</v>
      </c>
      <c r="C517" s="7" t="str">
        <f>HYPERLINK("https://data.sopsr.sk/chranene-objekty/chranene-uzemia/detail/SKUEV0890","Pírovské")</f>
        <v>Pírovské</v>
      </c>
      <c r="D517" s="33">
        <v>129.86529999999999</v>
      </c>
      <c r="E517" s="44" t="str">
        <f>HYPERLINK("https://natura2000.sopsr.sk/lokality/uev/lokality-uev/?uev=SKUEV0890","Odkaz")</f>
        <v>Odkaz</v>
      </c>
      <c r="F517" s="44" t="str">
        <f>HYPERLINK("https://natura2000.sopsr.sk/wp-content/uploads/natura/legislativa/uev/ciele/SKUEV0890.docx","Spracované")</f>
        <v>Spracované</v>
      </c>
      <c r="G517" s="23" t="s">
        <v>10</v>
      </c>
      <c r="H517" s="9" t="s">
        <v>91</v>
      </c>
      <c r="I517" s="9" t="s">
        <v>61</v>
      </c>
      <c r="J517" s="9" t="s">
        <v>52</v>
      </c>
      <c r="K517" s="40">
        <v>0</v>
      </c>
    </row>
    <row r="518" spans="1:11" x14ac:dyDescent="0.25">
      <c r="A518" s="20" t="s">
        <v>1132</v>
      </c>
      <c r="B518" s="36" t="s">
        <v>1133</v>
      </c>
      <c r="C518" s="7" t="str">
        <f>HYPERLINK("https://data.sopsr.sk/chranene-objekty/chranene-uzemia/detail/SKUEV0891","Domanícke stráne")</f>
        <v>Domanícke stráne</v>
      </c>
      <c r="D518" s="33">
        <v>20.623799999999999</v>
      </c>
      <c r="E518" s="44" t="str">
        <f>HYPERLINK("https://natura2000.sopsr.sk/lokality/uev/lokality-uev/?uev=SKUEV0891","Odkaz")</f>
        <v>Odkaz</v>
      </c>
      <c r="F518" s="44" t="str">
        <f>HYPERLINK("https://natura2000.sopsr.sk/wp-content/uploads/natura/legislativa/uev/ciele/SKUEV0891.docx","Spracované")</f>
        <v>Spracované</v>
      </c>
      <c r="G518" s="23" t="s">
        <v>10</v>
      </c>
      <c r="H518" s="21" t="s">
        <v>963</v>
      </c>
      <c r="I518" s="21" t="s">
        <v>12</v>
      </c>
      <c r="J518" s="9" t="s">
        <v>52</v>
      </c>
      <c r="K518" s="40">
        <v>0</v>
      </c>
    </row>
    <row r="519" spans="1:11" x14ac:dyDescent="0.25">
      <c r="A519" s="20" t="s">
        <v>1134</v>
      </c>
      <c r="B519" s="36" t="s">
        <v>1135</v>
      </c>
      <c r="C519" s="7" t="str">
        <f>HYPERLINK("https://data.sopsr.sk/chranene-objekty/chranene-uzemia/detail/SKUEV0892","Dolný Chlm")</f>
        <v>Dolný Chlm</v>
      </c>
      <c r="D519" s="33">
        <v>53.039299999999997</v>
      </c>
      <c r="E519" s="44" t="str">
        <f>HYPERLINK("https://natura2000.sopsr.sk/lokality/uev/lokality-uev/?uev=SKUEV0892","Odkaz")</f>
        <v>Odkaz</v>
      </c>
      <c r="F519" s="44" t="str">
        <f>HYPERLINK("https://natura2000.sopsr.sk/wp-content/uploads/natura/legislativa/uev/ciele/SKUEV0892.docx","Spracované")</f>
        <v>Spracované</v>
      </c>
      <c r="G519" s="23" t="s">
        <v>10</v>
      </c>
      <c r="H519" s="21" t="s">
        <v>972</v>
      </c>
      <c r="I519" s="21" t="s">
        <v>12</v>
      </c>
      <c r="J519" s="9" t="s">
        <v>52</v>
      </c>
      <c r="K519" s="40">
        <v>0</v>
      </c>
    </row>
    <row r="520" spans="1:11" x14ac:dyDescent="0.25">
      <c r="A520" s="20" t="s">
        <v>1136</v>
      </c>
      <c r="B520" s="36" t="s">
        <v>1137</v>
      </c>
      <c r="C520" s="7" t="str">
        <f>HYPERLINK("https://data.sopsr.sk/chranene-objekty/chranene-uzemia/detail/SKUEV0893","Kunešovské lúky")</f>
        <v>Kunešovské lúky</v>
      </c>
      <c r="D520" s="33">
        <v>145.53639999999999</v>
      </c>
      <c r="E520" s="44" t="str">
        <f>HYPERLINK("https://natura2000.sopsr.sk/lokality/uev/lokality-uev/?uev=SKUEV0893","Odkaz")</f>
        <v>Odkaz</v>
      </c>
      <c r="F520" s="44" t="str">
        <f>HYPERLINK("https://natura2000.sopsr.sk/wp-content/uploads/natura/legislativa/uev/ciele/SKUEV0893.docx","Spracované")</f>
        <v>Spracované</v>
      </c>
      <c r="G520" s="23" t="s">
        <v>10</v>
      </c>
      <c r="H520" s="21" t="s">
        <v>972</v>
      </c>
      <c r="I520" s="21" t="s">
        <v>12</v>
      </c>
      <c r="J520" s="9" t="s">
        <v>52</v>
      </c>
      <c r="K520" s="40">
        <v>0</v>
      </c>
    </row>
    <row r="521" spans="1:11" x14ac:dyDescent="0.25">
      <c r="A521" s="20" t="s">
        <v>1138</v>
      </c>
      <c r="B521" s="36" t="s">
        <v>1139</v>
      </c>
      <c r="C521" s="7" t="str">
        <f>HYPERLINK("https://data.sopsr.sk/chranene-objekty/chranene-uzemia/detail/SKUEV0894","Za hôrkou")</f>
        <v>Za hôrkou</v>
      </c>
      <c r="D521" s="33">
        <v>41.236600000000003</v>
      </c>
      <c r="E521" s="44" t="str">
        <f>HYPERLINK("https://natura2000.sopsr.sk/lokality/uev/lokality-uev/?uev=SKUEV0894","Odkaz")</f>
        <v>Odkaz</v>
      </c>
      <c r="F521" s="44" t="str">
        <f>HYPERLINK("https://natura2000.sopsr.sk/wp-content/uploads/natura/legislativa/uev/ciele/SKUEV0894.docx","Spracované")</f>
        <v>Spracované</v>
      </c>
      <c r="G521" s="23" t="s">
        <v>10</v>
      </c>
      <c r="H521" s="21" t="s">
        <v>972</v>
      </c>
      <c r="I521" s="21" t="s">
        <v>26</v>
      </c>
      <c r="J521" s="9" t="s">
        <v>27</v>
      </c>
      <c r="K521" s="40">
        <v>0</v>
      </c>
    </row>
    <row r="522" spans="1:11" x14ac:dyDescent="0.25">
      <c r="A522" s="20" t="s">
        <v>1140</v>
      </c>
      <c r="B522" s="36" t="s">
        <v>1141</v>
      </c>
      <c r="C522" s="7" t="str">
        <f>HYPERLINK("https://data.sopsr.sk/chranene-objekty/chranene-uzemia/detail/SKUEV0895","Stredný tok Laborca")</f>
        <v>Stredný tok Laborca</v>
      </c>
      <c r="D522" s="33">
        <v>227.26750000000001</v>
      </c>
      <c r="E522" s="44" t="str">
        <f>HYPERLINK("https://natura2000.sopsr.sk/lokality/uev/lokality-uev/?uev=SKUEV0895","Odkaz")</f>
        <v>Odkaz</v>
      </c>
      <c r="F522" s="44" t="str">
        <f>HYPERLINK("https://natura2000.sopsr.sk/wp-content/uploads/natura/legislativa/uev/ciele/SKUEV0895.docx","Spracované")</f>
        <v>Spracované</v>
      </c>
      <c r="G522" s="23" t="s">
        <v>10</v>
      </c>
      <c r="H522" s="21" t="s">
        <v>972</v>
      </c>
      <c r="I522" s="21" t="s">
        <v>55</v>
      </c>
      <c r="J522" s="9" t="s">
        <v>27</v>
      </c>
      <c r="K522" s="40">
        <v>0</v>
      </c>
    </row>
    <row r="523" spans="1:11" x14ac:dyDescent="0.25">
      <c r="A523" s="20" t="s">
        <v>1142</v>
      </c>
      <c r="B523" s="36" t="s">
        <v>1143</v>
      </c>
      <c r="C523" s="7" t="str">
        <f>HYPERLINK("https://data.sopsr.sk/chranene-objekty/chranene-uzemia/detail/SKUEV0896","Pod Čierťažou")</f>
        <v>Pod Čierťažou</v>
      </c>
      <c r="D523" s="33">
        <v>182.0479</v>
      </c>
      <c r="E523" s="44" t="str">
        <f>HYPERLINK("https://natura2000.sopsr.sk/lokality/uev/lokality-uev/?uev=SKUEV0896","Odkaz")</f>
        <v>Odkaz</v>
      </c>
      <c r="F523" s="44" t="str">
        <f>HYPERLINK("https://natura2000.sopsr.sk/wp-content/uploads/natura/legislativa/uev/ciele/SKUEV0896.docx","Spracované")</f>
        <v>Spracované</v>
      </c>
      <c r="G523" s="23" t="s">
        <v>10</v>
      </c>
      <c r="H523" s="21" t="s">
        <v>972</v>
      </c>
      <c r="I523" s="21" t="s">
        <v>26</v>
      </c>
      <c r="J523" s="9" t="s">
        <v>27</v>
      </c>
      <c r="K523" s="40">
        <v>34</v>
      </c>
    </row>
    <row r="524" spans="1:11" x14ac:dyDescent="0.25">
      <c r="A524" s="20" t="s">
        <v>1144</v>
      </c>
      <c r="B524" s="36" t="s">
        <v>1145</v>
      </c>
      <c r="C524" s="7" t="str">
        <f>HYPERLINK("https://data.sopsr.sk/chranene-objekty/chranene-uzemia/detail/SKUEV0897","Belušky")</f>
        <v>Belušky</v>
      </c>
      <c r="D524" s="33">
        <v>71.656899999999993</v>
      </c>
      <c r="E524" s="44" t="str">
        <f>HYPERLINK("https://natura2000.sopsr.sk/lokality/uev/lokality-uev/?uev=SKUEV0897","Odkaz")</f>
        <v>Odkaz</v>
      </c>
      <c r="F524" s="44" t="str">
        <f>HYPERLINK("https://natura2000.sopsr.sk/wp-content/uploads/natura/legislativa/uev/ciele/SKUEV0897.docx","Spracované")</f>
        <v>Spracované</v>
      </c>
      <c r="G524" s="23" t="s">
        <v>10</v>
      </c>
      <c r="H524" s="21" t="s">
        <v>972</v>
      </c>
      <c r="I524" s="21" t="s">
        <v>55</v>
      </c>
      <c r="J524" s="9" t="s">
        <v>27</v>
      </c>
      <c r="K524" s="40">
        <v>0</v>
      </c>
    </row>
    <row r="525" spans="1:11" x14ac:dyDescent="0.25">
      <c r="A525" s="20" t="s">
        <v>1146</v>
      </c>
      <c r="B525" s="36" t="s">
        <v>1147</v>
      </c>
      <c r="C525" s="7" t="str">
        <f>HYPERLINK("https://data.sopsr.sk/chranene-objekty/chranene-uzemia/detail/SKUEV0899","Borské piesky")</f>
        <v>Borské piesky</v>
      </c>
      <c r="D525" s="33">
        <v>16.710699999999999</v>
      </c>
      <c r="E525" s="44" t="str">
        <f>HYPERLINK("https://natura2000.sopsr.sk/lokality/uev/lokality-uev/?uev=SKUEV0899","Odkaz")</f>
        <v>Odkaz</v>
      </c>
      <c r="F525" s="44" t="str">
        <f>HYPERLINK("https://natura2000.sopsr.sk/wp-content/uploads/natura/legislativa/uev/ciele/SKUEV0899.docx","Spracované")</f>
        <v>Spracované</v>
      </c>
      <c r="G525" s="23" t="s">
        <v>10</v>
      </c>
      <c r="H525" s="21" t="s">
        <v>963</v>
      </c>
      <c r="I525" s="21" t="s">
        <v>1148</v>
      </c>
      <c r="J525" s="9" t="s">
        <v>250</v>
      </c>
      <c r="K525" s="40">
        <v>81</v>
      </c>
    </row>
    <row r="526" spans="1:11" x14ac:dyDescent="0.25">
      <c r="A526" s="20" t="s">
        <v>1149</v>
      </c>
      <c r="B526" s="36" t="s">
        <v>1150</v>
      </c>
      <c r="C526" s="7" t="str">
        <f>HYPERLINK("https://data.sopsr.sk/chranene-objekty/chranene-uzemia/detail/SKUEV0900","Uchánok")</f>
        <v>Uchánok</v>
      </c>
      <c r="D526" s="33">
        <v>82.446399999999997</v>
      </c>
      <c r="E526" s="44" t="str">
        <f>HYPERLINK("https://natura2000.sopsr.sk/lokality/uev/lokality-uev/?uev=SKUEV0900","Odkaz")</f>
        <v>Odkaz</v>
      </c>
      <c r="F526" s="44" t="str">
        <f>HYPERLINK("https://natura2000.sopsr.sk/wp-content/uploads/natura/legislativa/uev/ciele/SKUEV0900.docx","Spracované")</f>
        <v>Spracované</v>
      </c>
      <c r="G526" s="23" t="s">
        <v>10</v>
      </c>
      <c r="H526" s="21" t="s">
        <v>972</v>
      </c>
      <c r="I526" s="21" t="s">
        <v>1148</v>
      </c>
      <c r="J526" s="9" t="s">
        <v>250</v>
      </c>
      <c r="K526" s="40">
        <v>3</v>
      </c>
    </row>
    <row r="527" spans="1:11" x14ac:dyDescent="0.25">
      <c r="A527" s="20" t="s">
        <v>1151</v>
      </c>
      <c r="B527" s="36" t="s">
        <v>1152</v>
      </c>
      <c r="C527" s="7" t="str">
        <f>HYPERLINK("https://data.sopsr.sk/chranene-objekty/chranene-uzemia/detail/SKUEV0901","Havran")</f>
        <v>Havran</v>
      </c>
      <c r="D527" s="33">
        <v>369.03179999999998</v>
      </c>
      <c r="E527" s="44" t="str">
        <f>HYPERLINK("https://natura2000.sopsr.sk/lokality/uev/lokality-uev/?uev=SKUEV0901","Odkaz")</f>
        <v>Odkaz</v>
      </c>
      <c r="F527" s="44" t="str">
        <f>HYPERLINK("https://natura2000.sopsr.sk/wp-content/uploads/natura/legislativa/uev/ciele/SKUEV0901.docx","Spracované")</f>
        <v>Spracované</v>
      </c>
      <c r="G527" s="23" t="s">
        <v>10</v>
      </c>
      <c r="H527" s="21" t="s">
        <v>972</v>
      </c>
      <c r="I527" s="16" t="s">
        <v>1153</v>
      </c>
      <c r="J527" s="9" t="s">
        <v>250</v>
      </c>
      <c r="K527" s="40">
        <v>100</v>
      </c>
    </row>
    <row r="528" spans="1:11" x14ac:dyDescent="0.25">
      <c r="A528" s="20" t="s">
        <v>1154</v>
      </c>
      <c r="B528" s="36" t="s">
        <v>1155</v>
      </c>
      <c r="C528" s="7" t="str">
        <f>HYPERLINK("https://data.sopsr.sk/chranene-objekty/chranene-uzemia/detail/SKUEV0902","Veterník")</f>
        <v>Veterník</v>
      </c>
      <c r="D528" s="33">
        <v>21.383600000000001</v>
      </c>
      <c r="E528" s="44" t="str">
        <f>HYPERLINK("https://natura2000.sopsr.sk/lokality/uev/lokality-uev/?uev=SKUEV0902","Odkaz")</f>
        <v>Odkaz</v>
      </c>
      <c r="F528" s="44" t="str">
        <f>HYPERLINK("https://natura2000.sopsr.sk/wp-content/uploads/natura/legislativa/uev/ciele/SKUEV0902.docx","Spracované")</f>
        <v>Spracované</v>
      </c>
      <c r="G528" s="23" t="s">
        <v>10</v>
      </c>
      <c r="H528" s="9" t="s">
        <v>91</v>
      </c>
      <c r="I528" s="9" t="s">
        <v>1148</v>
      </c>
      <c r="J528" s="9" t="s">
        <v>250</v>
      </c>
      <c r="K528" s="40">
        <v>85</v>
      </c>
    </row>
    <row r="529" spans="1:11" x14ac:dyDescent="0.25">
      <c r="A529" s="20" t="s">
        <v>1156</v>
      </c>
      <c r="B529" s="36" t="s">
        <v>1157</v>
      </c>
      <c r="C529" s="7" t="str">
        <f>HYPERLINK("https://data.sopsr.sk/chranene-objekty/chranene-uzemia/detail/SKUEV0903","Kyseľová a Mníchova úboč")</f>
        <v>Kyseľová a Mníchova úboč</v>
      </c>
      <c r="D529" s="33">
        <v>36.334499999999998</v>
      </c>
      <c r="E529" s="44" t="str">
        <f>HYPERLINK("https://natura2000.sopsr.sk/lokality/uev/lokality-uev/?uev=SKUEV0903","Odkaz")</f>
        <v>Odkaz</v>
      </c>
      <c r="F529" s="44" t="str">
        <f>HYPERLINK("https://natura2000.sopsr.sk/wp-content/uploads/natura/legislativa/uev/ciele/SKUEV0903.docx","Spracované")</f>
        <v>Spracované</v>
      </c>
      <c r="G529" s="23" t="s">
        <v>10</v>
      </c>
      <c r="H529" s="21" t="s">
        <v>972</v>
      </c>
      <c r="I529" s="21" t="s">
        <v>1148</v>
      </c>
      <c r="J529" s="9" t="s">
        <v>250</v>
      </c>
      <c r="K529" s="40">
        <v>30</v>
      </c>
    </row>
    <row r="530" spans="1:11" x14ac:dyDescent="0.25">
      <c r="A530" s="20" t="s">
        <v>1158</v>
      </c>
      <c r="B530" s="36" t="s">
        <v>1159</v>
      </c>
      <c r="C530" s="7" t="str">
        <f>HYPERLINK("https://data.sopsr.sk/chranene-objekty/chranene-uzemia/detail/SKUEV0904","Gbelský les")</f>
        <v>Gbelský les</v>
      </c>
      <c r="D530" s="33">
        <v>267.99770000000001</v>
      </c>
      <c r="E530" s="44" t="str">
        <f>HYPERLINK("https://natura2000.sopsr.sk/lokality/uev/lokality-uev/?uev=SKUEV0904","Odkaz")</f>
        <v>Odkaz</v>
      </c>
      <c r="F530" s="44" t="str">
        <f>HYPERLINK("https://natura2000.sopsr.sk/wp-content/uploads/natura/legislativa/uev/ciele/SKUEV0904.docx","Spracované")</f>
        <v>Spracované</v>
      </c>
      <c r="G530" s="23" t="s">
        <v>10</v>
      </c>
      <c r="H530" s="21" t="s">
        <v>963</v>
      </c>
      <c r="I530" s="21" t="s">
        <v>1148</v>
      </c>
      <c r="J530" s="9" t="s">
        <v>250</v>
      </c>
      <c r="K530" s="40">
        <v>0</v>
      </c>
    </row>
    <row r="531" spans="1:11" x14ac:dyDescent="0.25">
      <c r="A531" s="20" t="s">
        <v>1160</v>
      </c>
      <c r="B531" s="36" t="s">
        <v>1161</v>
      </c>
      <c r="C531" s="7" t="str">
        <f>HYPERLINK("https://data.sopsr.sk/chranene-objekty/chranene-uzemia/detail/SKUEV0905","Holíčske alúvium Moravy")</f>
        <v>Holíčske alúvium Moravy</v>
      </c>
      <c r="D531" s="33">
        <v>145.8929</v>
      </c>
      <c r="E531" s="44" t="str">
        <f>HYPERLINK("https://natura2000.sopsr.sk/lokality/uev/lokality-uev/?uev=SKUEV0905","Odkaz")</f>
        <v>Odkaz</v>
      </c>
      <c r="F531" s="44" t="str">
        <f>HYPERLINK("https://natura2000.sopsr.sk/wp-content/uploads/natura/legislativa/uev/ciele/SKUEV0905.docx","Spracované")</f>
        <v>Spracované</v>
      </c>
      <c r="G531" s="23" t="s">
        <v>10</v>
      </c>
      <c r="H531" s="21" t="s">
        <v>963</v>
      </c>
      <c r="I531" s="21" t="s">
        <v>1148</v>
      </c>
      <c r="J531" s="9" t="s">
        <v>250</v>
      </c>
      <c r="K531" s="40">
        <v>0</v>
      </c>
    </row>
    <row r="532" spans="1:11" x14ac:dyDescent="0.25">
      <c r="A532" s="20" t="s">
        <v>1162</v>
      </c>
      <c r="B532" s="36" t="s">
        <v>1163</v>
      </c>
      <c r="C532" s="7" t="str">
        <f>HYPERLINK("https://data.sopsr.sk/chranene-objekty/chranene-uzemia/detail/SKUEV0906","Kalaštovský bor")</f>
        <v>Kalaštovský bor</v>
      </c>
      <c r="D532" s="33">
        <v>358.34210000000002</v>
      </c>
      <c r="E532" s="44" t="str">
        <f>HYPERLINK("https://natura2000.sopsr.sk/lokality/uev/lokality-uev/?uev=SKUEV0906","Odkaz")</f>
        <v>Odkaz</v>
      </c>
      <c r="F532" s="44" t="str">
        <f>HYPERLINK("https://natura2000.sopsr.sk/wp-content/uploads/natura/legislativa/uev/ciele/SKUEV0906.docx","Spracované")</f>
        <v>Spracované</v>
      </c>
      <c r="G532" s="23" t="s">
        <v>10</v>
      </c>
      <c r="H532" s="21" t="s">
        <v>20</v>
      </c>
      <c r="I532" s="21" t="s">
        <v>1164</v>
      </c>
      <c r="J532" s="9" t="s">
        <v>250</v>
      </c>
      <c r="K532" s="40">
        <v>100</v>
      </c>
    </row>
    <row r="533" spans="1:11" x14ac:dyDescent="0.25">
      <c r="A533" s="20" t="s">
        <v>1165</v>
      </c>
      <c r="B533" s="36" t="s">
        <v>1166</v>
      </c>
      <c r="C533" s="7" t="str">
        <f>HYPERLINK("https://data.sopsr.sk/chranene-objekty/chranene-uzemia/detail/SKUEV0907","Peterklin")</f>
        <v>Peterklin</v>
      </c>
      <c r="D533" s="33">
        <v>94.281499999999994</v>
      </c>
      <c r="E533" s="44" t="str">
        <f>HYPERLINK("https://natura2000.sopsr.sk/lokality/uev/lokality-uev/?uev=SKUEV0907","Odkaz")</f>
        <v>Odkaz</v>
      </c>
      <c r="F533" s="44" t="str">
        <f>HYPERLINK("https://natura2000.sopsr.sk/wp-content/uploads/natura/legislativa/uev/ciele/SKUEV0907.docx","Spracované")</f>
        <v>Spracované</v>
      </c>
      <c r="G533" s="23" t="s">
        <v>10</v>
      </c>
      <c r="H533" s="21" t="s">
        <v>972</v>
      </c>
      <c r="I533" s="21" t="s">
        <v>964</v>
      </c>
      <c r="J533" s="9" t="s">
        <v>250</v>
      </c>
      <c r="K533" s="40">
        <v>0</v>
      </c>
    </row>
    <row r="534" spans="1:11" x14ac:dyDescent="0.25">
      <c r="A534" s="20" t="s">
        <v>1167</v>
      </c>
      <c r="B534" s="36" t="s">
        <v>1168</v>
      </c>
      <c r="C534" s="7" t="str">
        <f>HYPERLINK("https://data.sopsr.sk/chranene-objekty/chranene-uzemia/detail/SKUEV0908","Kaltenbruk")</f>
        <v>Kaltenbruk</v>
      </c>
      <c r="D534" s="33">
        <v>90.891900000000007</v>
      </c>
      <c r="E534" s="44" t="str">
        <f>HYPERLINK("https://natura2000.sopsr.sk/lokality/uev/lokality-uev/?uev=SKUEV0908","Odkaz")</f>
        <v>Odkaz</v>
      </c>
      <c r="F534" s="44" t="str">
        <f>HYPERLINK("https://natura2000.sopsr.sk/wp-content/uploads/natura/legislativa/uev/ciele/SKUEV0908.docx","Spracované")</f>
        <v>Spracované</v>
      </c>
      <c r="G534" s="23" t="s">
        <v>10</v>
      </c>
      <c r="H534" s="21" t="s">
        <v>963</v>
      </c>
      <c r="I534" s="21" t="s">
        <v>146</v>
      </c>
      <c r="J534" s="9" t="s">
        <v>250</v>
      </c>
      <c r="K534" s="40">
        <v>0</v>
      </c>
    </row>
    <row r="535" spans="1:11" x14ac:dyDescent="0.25">
      <c r="A535" s="20" t="s">
        <v>1169</v>
      </c>
      <c r="B535" s="36" t="s">
        <v>1170</v>
      </c>
      <c r="C535" s="7" t="str">
        <f>HYPERLINK("https://data.sopsr.sk/chranene-objekty/chranene-uzemia/detail/SKUEV0911","Vrchná hora")</f>
        <v>Vrchná hora</v>
      </c>
      <c r="D535" s="33">
        <v>6.5895999999999999</v>
      </c>
      <c r="E535" s="44" t="str">
        <f>HYPERLINK("https://natura2000.sopsr.sk/lokality/uev/lokality-uev/?uev=SKUEV0911","Odkaz")</f>
        <v>Odkaz</v>
      </c>
      <c r="F535" s="44" t="str">
        <f>HYPERLINK("https://natura2000.sopsr.sk/wp-content/uploads/natura/legislativa/uev/ciele/SKUEV0911.docx","Spracované")</f>
        <v>Spracované</v>
      </c>
      <c r="G535" s="23" t="s">
        <v>10</v>
      </c>
      <c r="H535" s="21" t="s">
        <v>11</v>
      </c>
      <c r="I535" s="21" t="s">
        <v>1171</v>
      </c>
      <c r="J535" s="9" t="s">
        <v>250</v>
      </c>
      <c r="K535" s="40">
        <v>0</v>
      </c>
    </row>
    <row r="536" spans="1:11" x14ac:dyDescent="0.25">
      <c r="A536" s="20" t="s">
        <v>1172</v>
      </c>
      <c r="B536" s="36" t="s">
        <v>1173</v>
      </c>
      <c r="C536" s="7" t="str">
        <f>HYPERLINK("https://data.sopsr.sk/chranene-objekty/chranene-uzemia/detail/SKUEV0917","Dlhý vrch")</f>
        <v>Dlhý vrch</v>
      </c>
      <c r="D536" s="33">
        <v>4.5850999999999997</v>
      </c>
      <c r="E536" s="44" t="str">
        <f>HYPERLINK("https://natura2000.sopsr.sk/lokality/uev/lokality-uev/?uev=SKUEV0917","Odkaz")</f>
        <v>Odkaz</v>
      </c>
      <c r="F536" s="44" t="str">
        <f>HYPERLINK("https://natura2000.sopsr.sk/wp-content/uploads/natura/legislativa/uev/ciele/SKUEV0917.docx","Spracované")</f>
        <v>Spracované</v>
      </c>
      <c r="G536" s="23" t="s">
        <v>10</v>
      </c>
      <c r="H536" s="21" t="s">
        <v>963</v>
      </c>
      <c r="I536" s="21" t="s">
        <v>1174</v>
      </c>
      <c r="J536" s="9" t="s">
        <v>592</v>
      </c>
      <c r="K536" s="40">
        <v>0</v>
      </c>
    </row>
    <row r="537" spans="1:11" x14ac:dyDescent="0.25">
      <c r="A537" s="20" t="s">
        <v>1175</v>
      </c>
      <c r="B537" s="36" t="s">
        <v>1176</v>
      </c>
      <c r="C537" s="7" t="str">
        <f>HYPERLINK("https://data.sopsr.sk/chranene-objekty/chranene-uzemia/detail/SKUEV0918","Volovské bučiny")</f>
        <v>Volovské bučiny</v>
      </c>
      <c r="D537" s="33">
        <v>60.762799999999999</v>
      </c>
      <c r="E537" s="44" t="str">
        <f>HYPERLINK("https://natura2000.sopsr.sk/lokality/uev/lokality-uev/?uev=SKUEV0918","Odkaz")</f>
        <v>Odkaz</v>
      </c>
      <c r="F537" s="44" t="str">
        <f>HYPERLINK("https://natura2000.sopsr.sk/wp-content/uploads/natura/legislativa/uev/ciele/SKUEV0918.docx","Spracované")</f>
        <v>Spracované</v>
      </c>
      <c r="G537" s="23" t="s">
        <v>10</v>
      </c>
      <c r="H537" s="21" t="s">
        <v>972</v>
      </c>
      <c r="I537" s="21" t="s">
        <v>1174</v>
      </c>
      <c r="J537" s="9" t="s">
        <v>592</v>
      </c>
      <c r="K537" s="40">
        <v>0</v>
      </c>
    </row>
    <row r="538" spans="1:11" x14ac:dyDescent="0.25">
      <c r="A538" s="20" t="s">
        <v>1177</v>
      </c>
      <c r="B538" s="36" t="s">
        <v>1178</v>
      </c>
      <c r="C538" s="7" t="str">
        <f>HYPERLINK("https://data.sopsr.sk/chranene-objekty/chranene-uzemia/detail/SKUEV0919","Kloptaň")</f>
        <v>Kloptaň</v>
      </c>
      <c r="D538" s="33">
        <v>26.2697</v>
      </c>
      <c r="E538" s="44" t="str">
        <f>HYPERLINK("https://natura2000.sopsr.sk/lokality/uev/lokality-uev/?uev=SKUEV0919","Odkaz")</f>
        <v>Odkaz</v>
      </c>
      <c r="F538" s="44" t="str">
        <f>HYPERLINK("https://natura2000.sopsr.sk/wp-content/uploads/natura/legislativa/uev/ciele/SKUEV0919.docx","Spracované")</f>
        <v>Spracované</v>
      </c>
      <c r="G538" s="23" t="s">
        <v>10</v>
      </c>
      <c r="H538" s="21" t="s">
        <v>972</v>
      </c>
      <c r="I538" s="21" t="s">
        <v>21</v>
      </c>
      <c r="J538" s="9" t="s">
        <v>592</v>
      </c>
      <c r="K538" s="40">
        <v>74</v>
      </c>
    </row>
    <row r="539" spans="1:11" x14ac:dyDescent="0.25">
      <c r="A539" s="20" t="s">
        <v>1179</v>
      </c>
      <c r="B539" s="36" t="s">
        <v>1180</v>
      </c>
      <c r="C539" s="7" t="str">
        <f>HYPERLINK("https://data.sopsr.sk/chranene-objekty/chranene-uzemia/detail/SKUEV0920","Sokolia skala")</f>
        <v>Sokolia skala</v>
      </c>
      <c r="D539" s="33">
        <v>11.7104</v>
      </c>
      <c r="E539" s="44" t="str">
        <f>HYPERLINK("https://natura2000.sopsr.sk/lokality/uev/lokality-uev/?uev=SKUEV0920","Odkaz")</f>
        <v>Odkaz</v>
      </c>
      <c r="F539" s="44" t="str">
        <f>HYPERLINK("https://natura2000.sopsr.sk/wp-content/uploads/natura/legislativa/uev/ciele/SKUEV0920.docx","Spracované")</f>
        <v>Spracované</v>
      </c>
      <c r="G539" s="23" t="s">
        <v>10</v>
      </c>
      <c r="H539" s="21" t="s">
        <v>963</v>
      </c>
      <c r="I539" s="21" t="s">
        <v>21</v>
      </c>
      <c r="J539" s="9" t="s">
        <v>592</v>
      </c>
      <c r="K539" s="40">
        <v>100</v>
      </c>
    </row>
    <row r="540" spans="1:11" x14ac:dyDescent="0.25">
      <c r="A540" s="20" t="s">
        <v>1181</v>
      </c>
      <c r="B540" s="36" t="s">
        <v>1182</v>
      </c>
      <c r="C540" s="7" t="str">
        <f>HYPERLINK("https://data.sopsr.sk/chranene-objekty/chranene-uzemia/detail/SKUEV0921","Meliatsky profil")</f>
        <v>Meliatsky profil</v>
      </c>
      <c r="D540" s="33">
        <v>11.8955</v>
      </c>
      <c r="E540" s="44" t="str">
        <f>HYPERLINK("https://natura2000.sopsr.sk/lokality/uev/lokality-uev/?uev=SKUEV0921","Odkaz")</f>
        <v>Odkaz</v>
      </c>
      <c r="F540" s="44" t="str">
        <f>HYPERLINK("https://natura2000.sopsr.sk/wp-content/uploads/natura/legislativa/uev/ciele/SKUEV0921.docx","Spracované")</f>
        <v>Spracované</v>
      </c>
      <c r="G540" s="23" t="s">
        <v>10</v>
      </c>
      <c r="H540" s="21" t="s">
        <v>20</v>
      </c>
      <c r="I540" s="21" t="s">
        <v>1183</v>
      </c>
      <c r="J540" s="9" t="s">
        <v>592</v>
      </c>
      <c r="K540" s="40">
        <v>77</v>
      </c>
    </row>
    <row r="541" spans="1:11" x14ac:dyDescent="0.25">
      <c r="A541" s="20" t="s">
        <v>1184</v>
      </c>
      <c r="B541" s="36" t="s">
        <v>1185</v>
      </c>
      <c r="C541" s="7" t="str">
        <f>HYPERLINK("https://data.sopsr.sk/chranene-objekty/chranene-uzemia/detail/SKUEV0922","Bubeník")</f>
        <v>Bubeník</v>
      </c>
      <c r="D541" s="33">
        <v>170.27119999999999</v>
      </c>
      <c r="E541" s="44" t="str">
        <f>HYPERLINK("https://natura2000.sopsr.sk/lokality/uev/lokality-uev/?uev=SKUEV0922","Odkaz")</f>
        <v>Odkaz</v>
      </c>
      <c r="F541" s="44" t="str">
        <f>HYPERLINK("https://natura2000.sopsr.sk/wp-content/uploads/natura/legislativa/uev/ciele/SKUEV0922.docx","Spracované")</f>
        <v>Spracované</v>
      </c>
      <c r="G541" s="23" t="s">
        <v>10</v>
      </c>
      <c r="H541" s="21" t="s">
        <v>963</v>
      </c>
      <c r="I541" s="21" t="s">
        <v>21</v>
      </c>
      <c r="J541" s="9" t="s">
        <v>592</v>
      </c>
      <c r="K541" s="40">
        <v>100</v>
      </c>
    </row>
    <row r="542" spans="1:11" x14ac:dyDescent="0.25">
      <c r="A542" s="20" t="s">
        <v>1186</v>
      </c>
      <c r="B542" s="36" t="s">
        <v>1187</v>
      </c>
      <c r="C542" s="7" t="str">
        <f>HYPERLINK("https://data.sopsr.sk/chranene-objekty/chranene-uzemia/detail/SKUEV0924","Zbojnícka dolina")</f>
        <v>Zbojnícka dolina</v>
      </c>
      <c r="D542" s="33">
        <v>20.538699999999999</v>
      </c>
      <c r="E542" s="44" t="str">
        <f>HYPERLINK("https://natura2000.sopsr.sk/lokality/uev/lokality-uev/?uev=SKUEV0924","Odkaz")</f>
        <v>Odkaz</v>
      </c>
      <c r="F542" s="44" t="str">
        <f>HYPERLINK("https://natura2000.sopsr.sk/wp-content/uploads/natura/legislativa/uev/ciele/SKUEV0924.docx","Spracované")</f>
        <v>Spracované</v>
      </c>
      <c r="G542" s="23" t="s">
        <v>10</v>
      </c>
      <c r="H542" s="21" t="s">
        <v>972</v>
      </c>
      <c r="I542" s="21" t="s">
        <v>21</v>
      </c>
      <c r="J542" s="9" t="s">
        <v>231</v>
      </c>
      <c r="K542" s="40">
        <v>0</v>
      </c>
    </row>
    <row r="543" spans="1:11" x14ac:dyDescent="0.25">
      <c r="A543" s="20" t="s">
        <v>1188</v>
      </c>
      <c r="B543" s="36" t="s">
        <v>1189</v>
      </c>
      <c r="C543" s="7" t="str">
        <f>HYPERLINK("https://data.sopsr.sk/chranene-objekty/chranene-uzemia/detail/SKUEV0925","Aboď")</f>
        <v>Aboď</v>
      </c>
      <c r="D543" s="33">
        <v>91.2864</v>
      </c>
      <c r="E543" s="44" t="str">
        <f>HYPERLINK("https://natura2000.sopsr.sk/lokality/uev/lokality-uev/?uev=SKUEV0925","Odkaz")</f>
        <v>Odkaz</v>
      </c>
      <c r="F543" s="44" t="str">
        <f>HYPERLINK("https://natura2000.sopsr.sk/wp-content/uploads/natura/legislativa/uev/ciele/SKUEV0925.docx","Spracované")</f>
        <v>Spracované</v>
      </c>
      <c r="G543" s="23" t="s">
        <v>10</v>
      </c>
      <c r="H543" s="21" t="s">
        <v>972</v>
      </c>
      <c r="I543" s="21" t="s">
        <v>1174</v>
      </c>
      <c r="J543" s="9" t="s">
        <v>231</v>
      </c>
      <c r="K543" s="40">
        <v>0</v>
      </c>
    </row>
    <row r="544" spans="1:11" x14ac:dyDescent="0.25">
      <c r="A544" s="20" t="s">
        <v>1190</v>
      </c>
      <c r="B544" s="36" t="s">
        <v>1191</v>
      </c>
      <c r="C544" s="7" t="str">
        <f>HYPERLINK("https://data.sopsr.sk/chranene-objekty/chranene-uzemia/detail/SKUEV0926","Prostredná dolina")</f>
        <v>Prostredná dolina</v>
      </c>
      <c r="D544" s="33">
        <v>101.6818</v>
      </c>
      <c r="E544" s="44" t="str">
        <f>HYPERLINK("https://natura2000.sopsr.sk/lokality/uev/lokality-uev/?uev=SKUEV0926","Odkaz")</f>
        <v>Odkaz</v>
      </c>
      <c r="F544" s="44" t="str">
        <f>HYPERLINK("https://natura2000.sopsr.sk/wp-content/uploads/natura/legislativa/uev/ciele/SKUEV0926.docx","Spracované")</f>
        <v>Spracované</v>
      </c>
      <c r="G544" s="23" t="s">
        <v>10</v>
      </c>
      <c r="H544" s="21" t="s">
        <v>972</v>
      </c>
      <c r="I544" s="21" t="s">
        <v>21</v>
      </c>
      <c r="J544" s="9" t="s">
        <v>231</v>
      </c>
      <c r="K544" s="40">
        <v>0</v>
      </c>
    </row>
    <row r="545" spans="1:11" x14ac:dyDescent="0.25">
      <c r="A545" s="20" t="s">
        <v>1192</v>
      </c>
      <c r="B545" s="36" t="s">
        <v>1193</v>
      </c>
      <c r="C545" s="7" t="str">
        <f>HYPERLINK("https://data.sopsr.sk/chranene-objekty/chranene-uzemia/detail/SKUEV0927","Hrádok")</f>
        <v>Hrádok</v>
      </c>
      <c r="D545" s="33">
        <v>1.5626</v>
      </c>
      <c r="E545" s="44" t="str">
        <f>HYPERLINK("https://natura2000.sopsr.sk/lokality/uev/lokality-uev/?uev=SKUEV0927","Odkaz")</f>
        <v>Odkaz</v>
      </c>
      <c r="F545" s="44" t="str">
        <f>HYPERLINK("https://natura2000.sopsr.sk/wp-content/uploads/natura/legislativa/uev/ciele/SKUEV0927.docx","Spracované")</f>
        <v>Spracované</v>
      </c>
      <c r="G545" s="23" t="s">
        <v>10</v>
      </c>
      <c r="H545" s="21" t="s">
        <v>972</v>
      </c>
      <c r="I545" s="21" t="s">
        <v>26</v>
      </c>
      <c r="J545" s="9" t="s">
        <v>231</v>
      </c>
      <c r="K545" s="40">
        <v>0</v>
      </c>
    </row>
    <row r="546" spans="1:11" x14ac:dyDescent="0.25">
      <c r="A546" s="20" t="s">
        <v>1194</v>
      </c>
      <c r="B546" s="36" t="s">
        <v>1195</v>
      </c>
      <c r="C546" s="7" t="str">
        <f>HYPERLINK("https://data.sopsr.sk/chranene-objekty/chranene-uzemia/detail/SKUEV0928","Stredný tok Hornádu")</f>
        <v>Stredný tok Hornádu</v>
      </c>
      <c r="D546" s="33">
        <v>299.38189999999997</v>
      </c>
      <c r="E546" s="44" t="str">
        <f>HYPERLINK("https://natura2000.sopsr.sk/lokality/uev/lokality-uev/?uev=SKUEV0928","Odkaz")</f>
        <v>Odkaz</v>
      </c>
      <c r="F546" s="44" t="str">
        <f>HYPERLINK("https://natura2000.sopsr.sk/wp-content/uploads/natura/legislativa/uev/ciele/SKUEV0928.docx","Spracované")</f>
        <v>Spracované</v>
      </c>
      <c r="G546" s="23" t="s">
        <v>10</v>
      </c>
      <c r="H546" s="21" t="s">
        <v>972</v>
      </c>
      <c r="I546" s="21" t="s">
        <v>21</v>
      </c>
      <c r="J546" s="9" t="s">
        <v>231</v>
      </c>
      <c r="K546" s="40">
        <v>0.14000000000000001</v>
      </c>
    </row>
    <row r="547" spans="1:11" x14ac:dyDescent="0.25">
      <c r="A547" s="20" t="s">
        <v>1196</v>
      </c>
      <c r="B547" s="36" t="s">
        <v>1197</v>
      </c>
      <c r="C547" s="7" t="str">
        <f>HYPERLINK("https://data.sopsr.sk/chranene-objekty/chranene-uzemia/detail/SKUEV0929","Helcmanovská bučina")</f>
        <v>Helcmanovská bučina</v>
      </c>
      <c r="D547" s="33">
        <v>23.1205</v>
      </c>
      <c r="E547" s="44" t="str">
        <f>HYPERLINK("https://natura2000.sopsr.sk/lokality/uev/lokality-uev/?uev=SKUEV0929","Odkaz")</f>
        <v>Odkaz</v>
      </c>
      <c r="F547" s="44" t="str">
        <f>HYPERLINK("https://natura2000.sopsr.sk/wp-content/uploads/natura/legislativa/uev/ciele/SKUEV0929.docx","Spracované")</f>
        <v>Spracované</v>
      </c>
      <c r="G547" s="23" t="s">
        <v>10</v>
      </c>
      <c r="H547" s="21" t="s">
        <v>11</v>
      </c>
      <c r="I547" s="21" t="s">
        <v>21</v>
      </c>
      <c r="J547" s="9" t="s">
        <v>231</v>
      </c>
      <c r="K547" s="40">
        <v>0</v>
      </c>
    </row>
    <row r="548" spans="1:11" x14ac:dyDescent="0.25">
      <c r="A548" s="20" t="s">
        <v>1198</v>
      </c>
      <c r="B548" s="36" t="s">
        <v>1199</v>
      </c>
      <c r="C548" s="7" t="str">
        <f>HYPERLINK("https://data.sopsr.sk/chranene-objekty/chranene-uzemia/detail/SKUEV0930","Lúčanská Fatra")</f>
        <v>Lúčanská Fatra</v>
      </c>
      <c r="D548" s="33">
        <v>1466.1484</v>
      </c>
      <c r="E548" s="44" t="str">
        <f>HYPERLINK("https://natura2000.sopsr.sk/lokality/uev/lokality-uev/?uev=SKUEV0930","Odkaz")</f>
        <v>Odkaz</v>
      </c>
      <c r="F548" s="44" t="str">
        <f>HYPERLINK("https://natura2000.sopsr.sk/wp-content/uploads/natura/legislativa/uev/ciele/SKUEV0930.docx","Spracované")</f>
        <v>Spracované</v>
      </c>
      <c r="G548" s="23" t="s">
        <v>10</v>
      </c>
      <c r="H548" s="21" t="s">
        <v>972</v>
      </c>
      <c r="I548" s="21" t="s">
        <v>1035</v>
      </c>
      <c r="J548" s="9" t="s">
        <v>316</v>
      </c>
      <c r="K548" s="40">
        <v>2</v>
      </c>
    </row>
    <row r="549" spans="1:11" x14ac:dyDescent="0.25">
      <c r="A549" s="20" t="s">
        <v>1200</v>
      </c>
      <c r="B549" s="36" t="s">
        <v>1201</v>
      </c>
      <c r="C549" s="7" t="str">
        <f>HYPERLINK("https://data.sopsr.sk/chranene-objekty/chranene-uzemia/detail/SKUEV0931","Kolačkovský potok")</f>
        <v>Kolačkovský potok</v>
      </c>
      <c r="D549" s="33">
        <v>6.7718999999999996</v>
      </c>
      <c r="E549" s="44" t="str">
        <f>HYPERLINK("https://natura2000.sopsr.sk/lokality/uev/lokality-uev/?uev=SKUEV0931","Odkaz")</f>
        <v>Odkaz</v>
      </c>
      <c r="F549" s="44" t="str">
        <f>HYPERLINK("https://natura2000.sopsr.sk/wp-content/uploads/natura/legislativa/uev/ciele/SKUEV0131.docx","Spracované")</f>
        <v>Spracované</v>
      </c>
      <c r="G549" s="23" t="s">
        <v>10</v>
      </c>
      <c r="H549" s="21" t="s">
        <v>972</v>
      </c>
      <c r="I549" s="21" t="s">
        <v>55</v>
      </c>
      <c r="J549" s="9" t="s">
        <v>694</v>
      </c>
      <c r="K549" s="40">
        <v>0</v>
      </c>
    </row>
    <row r="550" spans="1:11" x14ac:dyDescent="0.25">
      <c r="A550" s="20" t="s">
        <v>1202</v>
      </c>
      <c r="B550" s="36" t="s">
        <v>1203</v>
      </c>
      <c r="C550" s="7" t="str">
        <f>HYPERLINK("https://data.sopsr.sk/chranene-objekty/chranene-uzemia/detail/SKUEV0932","Šimonka")</f>
        <v>Šimonka</v>
      </c>
      <c r="D550" s="33">
        <v>2979.2601</v>
      </c>
      <c r="E550" s="44" t="str">
        <f>HYPERLINK("https://natura2000.sopsr.sk/lokality/uev/lokality-uev/?uev=SKUEV0932","Odkaz")</f>
        <v>Odkaz</v>
      </c>
      <c r="F550" s="44" t="str">
        <f>HYPERLINK("https://natura2000.sopsr.sk/wp-content/uploads/natura/legislativa/uev/ciele/SKUEV0932.docx","Spracované")</f>
        <v>Spracované</v>
      </c>
      <c r="G550" s="23" t="s">
        <v>10</v>
      </c>
      <c r="H550" s="21" t="s">
        <v>972</v>
      </c>
      <c r="I550" s="21" t="s">
        <v>55</v>
      </c>
      <c r="J550" s="10" t="s">
        <v>1401</v>
      </c>
      <c r="K550" s="40">
        <v>6.47</v>
      </c>
    </row>
    <row r="551" spans="1:11" x14ac:dyDescent="0.25">
      <c r="A551" s="20" t="s">
        <v>1204</v>
      </c>
      <c r="B551" s="36" t="s">
        <v>1205</v>
      </c>
      <c r="C551" s="7" t="str">
        <f>HYPERLINK("https://data.sopsr.sk/chranene-objekty/chranene-uzemia/detail/SKUEV0933","Valalská voda")</f>
        <v>Valalská voda</v>
      </c>
      <c r="D551" s="33">
        <v>18.4999</v>
      </c>
      <c r="E551" s="44" t="str">
        <f>HYPERLINK("https://natura2000.sopsr.sk/lokality/uev/lokality-uev/?uev=SKUEV0933","Odkaz")</f>
        <v>Odkaz</v>
      </c>
      <c r="F551" s="44" t="str">
        <f>HYPERLINK("https://natura2000.sopsr.sk/wp-content/uploads/natura/legislativa/uev/ciele/SKUEV0933.docx","Spracované")</f>
        <v>Spracované</v>
      </c>
      <c r="G551" s="23" t="s">
        <v>10</v>
      </c>
      <c r="H551" s="21" t="s">
        <v>972</v>
      </c>
      <c r="I551" s="21" t="s">
        <v>26</v>
      </c>
      <c r="J551" s="10" t="s">
        <v>1401</v>
      </c>
      <c r="K551" s="40">
        <v>84</v>
      </c>
    </row>
    <row r="552" spans="1:11" x14ac:dyDescent="0.25">
      <c r="A552" s="20" t="s">
        <v>1206</v>
      </c>
      <c r="B552" s="36" t="s">
        <v>1207</v>
      </c>
      <c r="C552" s="7" t="str">
        <f>HYPERLINK("https://data.sopsr.sk/chranene-objekty/chranene-uzemia/detail/SKUEV0934","Gýmešský jarok")</f>
        <v>Gýmešský jarok</v>
      </c>
      <c r="D552" s="33">
        <v>40.068300000000001</v>
      </c>
      <c r="E552" s="44" t="str">
        <f>HYPERLINK("https://natura2000.sopsr.sk/lokality/uev/lokality-uev/?uev=SKUEV0934","Odkaz")</f>
        <v>Odkaz</v>
      </c>
      <c r="F552" s="44" t="str">
        <f>HYPERLINK("https://natura2000.sopsr.sk/wp-content/uploads/natura/legislativa/uev/ciele/SKUEV0934.docx","Spracované")</f>
        <v>Spracované</v>
      </c>
      <c r="G552" s="23" t="s">
        <v>10</v>
      </c>
      <c r="H552" s="21" t="s">
        <v>972</v>
      </c>
      <c r="I552" s="21" t="s">
        <v>26</v>
      </c>
      <c r="J552" s="10" t="s">
        <v>1401</v>
      </c>
      <c r="K552" s="40">
        <v>52</v>
      </c>
    </row>
    <row r="553" spans="1:11" x14ac:dyDescent="0.25">
      <c r="A553" s="20" t="s">
        <v>1208</v>
      </c>
      <c r="B553" s="36" t="s">
        <v>1209</v>
      </c>
      <c r="C553" s="7" t="str">
        <f>HYPERLINK("https://data.sopsr.sk/chranene-objekty/chranene-uzemia/detail/SKUEV0935","Haništiansky les")</f>
        <v>Haništiansky les</v>
      </c>
      <c r="D553" s="33">
        <v>119.8516</v>
      </c>
      <c r="E553" s="44" t="str">
        <f>HYPERLINK("https://natura2000.sopsr.sk/lokality/uev/lokality-uev/?uev=SKUEV0935","Odkaz")</f>
        <v>Odkaz</v>
      </c>
      <c r="F553" s="44" t="str">
        <f>HYPERLINK("https://natura2000.sopsr.sk/wp-content/uploads/natura/legislativa/uev/ciele/SKUEV0935.docx","Spracované")</f>
        <v>Spracované</v>
      </c>
      <c r="G553" s="23" t="s">
        <v>10</v>
      </c>
      <c r="H553" s="21" t="s">
        <v>963</v>
      </c>
      <c r="I553" s="21" t="s">
        <v>1174</v>
      </c>
      <c r="J553" s="10" t="s">
        <v>1401</v>
      </c>
      <c r="K553" s="40">
        <v>0</v>
      </c>
    </row>
    <row r="554" spans="1:11" x14ac:dyDescent="0.25">
      <c r="A554" s="20" t="s">
        <v>1210</v>
      </c>
      <c r="B554" s="36" t="s">
        <v>1211</v>
      </c>
      <c r="C554" s="7" t="str">
        <f>HYPERLINK("https://data.sopsr.sk/chranene-objekty/chranene-uzemia/detail/SKUEV0936","Horný tok Tople")</f>
        <v>Horný tok Tople</v>
      </c>
      <c r="D554" s="33">
        <v>366.67259999999999</v>
      </c>
      <c r="E554" s="44" t="str">
        <f>HYPERLINK("https://natura2000.sopsr.sk/lokality/uev/lokality-uev/?uev=SKUEV0936","Odkaz")</f>
        <v>Odkaz</v>
      </c>
      <c r="F554" s="44" t="str">
        <f>HYPERLINK("https://natura2000.sopsr.sk/wp-content/uploads/natura/legislativa/uev/ciele/SKUEV0936.docx","Spracované")</f>
        <v>Spracované</v>
      </c>
      <c r="G554" s="23" t="s">
        <v>10</v>
      </c>
      <c r="H554" s="21" t="s">
        <v>972</v>
      </c>
      <c r="I554" s="21" t="s">
        <v>26</v>
      </c>
      <c r="J554" s="10" t="s">
        <v>1401</v>
      </c>
      <c r="K554" s="40">
        <v>0</v>
      </c>
    </row>
    <row r="555" spans="1:11" x14ac:dyDescent="0.25">
      <c r="A555" s="20" t="s">
        <v>1212</v>
      </c>
      <c r="B555" s="36" t="s">
        <v>1213</v>
      </c>
      <c r="C555" s="7" t="str">
        <f>HYPERLINK("https://data.sopsr.sk/chranene-objekty/chranene-uzemia/detail/SKUEV0937","Becherovská tisina")</f>
        <v>Becherovská tisina</v>
      </c>
      <c r="D555" s="33">
        <v>264.6585</v>
      </c>
      <c r="E555" s="44" t="str">
        <f>HYPERLINK("https://natura2000.sopsr.sk/lokality/uev/lokality-uev/?uev=SKUEV0937","Odkaz")</f>
        <v>Odkaz</v>
      </c>
      <c r="F555" s="44" t="str">
        <f>HYPERLINK("https://natura2000.sopsr.sk/wp-content/uploads/natura/legislativa/uev/ciele/SKUEV0937.docx","Spracované")</f>
        <v>Spracované</v>
      </c>
      <c r="G555" s="23" t="s">
        <v>10</v>
      </c>
      <c r="H555" s="21" t="s">
        <v>972</v>
      </c>
      <c r="I555" s="21" t="s">
        <v>55</v>
      </c>
      <c r="J555" s="10" t="s">
        <v>1401</v>
      </c>
      <c r="K555" s="40">
        <v>9</v>
      </c>
    </row>
    <row r="556" spans="1:11" x14ac:dyDescent="0.25">
      <c r="A556" s="20" t="s">
        <v>1214</v>
      </c>
      <c r="B556" s="36" t="s">
        <v>1215</v>
      </c>
      <c r="C556" s="7" t="str">
        <f>HYPERLINK("https://data.sopsr.sk/chranene-objekty/chranene-uzemia/detail/SKUEV0938","Rakytová hora")</f>
        <v>Rakytová hora</v>
      </c>
      <c r="D556" s="33">
        <v>861.81889999999999</v>
      </c>
      <c r="E556" s="44" t="str">
        <f>HYPERLINK("https://natura2000.sopsr.sk/lokality/uev/lokality-uev/?uev=SKUEV0938","Odkaz")</f>
        <v>Odkaz</v>
      </c>
      <c r="F556" s="44" t="str">
        <f>HYPERLINK("https://natura2000.sopsr.sk/wp-content/uploads/natura/legislativa/uev/ciele/SKUEV0938.docx","Spracované")</f>
        <v>Spracované</v>
      </c>
      <c r="G556" s="23" t="s">
        <v>10</v>
      </c>
      <c r="H556" s="21" t="s">
        <v>972</v>
      </c>
      <c r="I556" s="21" t="s">
        <v>55</v>
      </c>
      <c r="J556" s="10" t="s">
        <v>1401</v>
      </c>
      <c r="K556" s="40">
        <v>3</v>
      </c>
    </row>
    <row r="557" spans="1:11" x14ac:dyDescent="0.25">
      <c r="A557" s="20" t="s">
        <v>1216</v>
      </c>
      <c r="B557" s="36" t="s">
        <v>1217</v>
      </c>
      <c r="C557" s="7" t="str">
        <f>HYPERLINK("https://data.sopsr.sk/chranene-objekty/chranene-uzemia/detail/SKUEV0939","Horný tok Ondavy")</f>
        <v>Horný tok Ondavy</v>
      </c>
      <c r="D557" s="33">
        <v>301.14879999999999</v>
      </c>
      <c r="E557" s="44" t="str">
        <f>HYPERLINK("https://natura2000.sopsr.sk/lokality/uev/lokality-uev/?uev=SKUEV0939","Odkaz")</f>
        <v>Odkaz</v>
      </c>
      <c r="F557" s="44" t="str">
        <f>HYPERLINK("https://natura2000.sopsr.sk/wp-content/uploads/natura/legislativa/uev/ciele/SKUEV0939.docx","Spracované")</f>
        <v>Spracované</v>
      </c>
      <c r="G557" s="23" t="s">
        <v>10</v>
      </c>
      <c r="H557" s="21" t="s">
        <v>972</v>
      </c>
      <c r="I557" s="21" t="s">
        <v>55</v>
      </c>
      <c r="J557" s="10" t="s">
        <v>1401</v>
      </c>
      <c r="K557" s="40">
        <v>0</v>
      </c>
    </row>
    <row r="558" spans="1:11" x14ac:dyDescent="0.25">
      <c r="A558" s="20" t="s">
        <v>1218</v>
      </c>
      <c r="B558" s="36" t="s">
        <v>1219</v>
      </c>
      <c r="C558" s="7" t="str">
        <f>HYPERLINK("https://data.sopsr.sk/chranene-objekty/chranene-uzemia/detail/SKUEV0940","Hornádske lúky")</f>
        <v>Hornádske lúky</v>
      </c>
      <c r="D558" s="33">
        <v>67.065600000000003</v>
      </c>
      <c r="E558" s="44" t="str">
        <f>HYPERLINK("https://natura2000.sopsr.sk/lokality/uev/lokality-uev/?uev=SKUEV0940","Odkaz")</f>
        <v>Odkaz</v>
      </c>
      <c r="F558" s="44" t="str">
        <f>HYPERLINK("https://natura2000.sopsr.sk/wp-content/uploads/natura/legislativa/uev/ciele/SKUEV0940.docx","Spracované")</f>
        <v>Spracované</v>
      </c>
      <c r="G558" s="23" t="s">
        <v>10</v>
      </c>
      <c r="H558" s="21" t="s">
        <v>972</v>
      </c>
      <c r="I558" s="21" t="s">
        <v>1220</v>
      </c>
      <c r="J558" s="10" t="s">
        <v>1401</v>
      </c>
      <c r="K558" s="40">
        <v>0</v>
      </c>
    </row>
    <row r="559" spans="1:11" x14ac:dyDescent="0.25">
      <c r="A559" s="20" t="s">
        <v>1221</v>
      </c>
      <c r="B559" s="36" t="s">
        <v>1222</v>
      </c>
      <c r="C559" s="7" t="str">
        <f>HYPERLINK("https://data.sopsr.sk/chranene-objekty/chranene-uzemia/detail/SKUEV0941","Trebejovské skaly")</f>
        <v>Trebejovské skaly</v>
      </c>
      <c r="D559" s="33">
        <v>47.2288</v>
      </c>
      <c r="E559" s="44" t="str">
        <f>HYPERLINK("https://natura2000.sopsr.sk/lokality/uev/lokality-uev/?uev=SKUEV0941","Odkaz")</f>
        <v>Odkaz</v>
      </c>
      <c r="F559" s="44" t="str">
        <f>HYPERLINK("https://natura2000.sopsr.sk/wp-content/uploads/natura/legislativa/uev/ciele/SKUEV0949.docx","Spracované")</f>
        <v>Spracované</v>
      </c>
      <c r="G559" s="23" t="s">
        <v>10</v>
      </c>
      <c r="H559" s="21" t="s">
        <v>972</v>
      </c>
      <c r="I559" s="21" t="s">
        <v>21</v>
      </c>
      <c r="J559" s="10" t="s">
        <v>1401</v>
      </c>
      <c r="K559" s="40">
        <v>0</v>
      </c>
    </row>
    <row r="560" spans="1:11" x14ac:dyDescent="0.25">
      <c r="A560" s="20" t="s">
        <v>1223</v>
      </c>
      <c r="B560" s="36" t="s">
        <v>1224</v>
      </c>
      <c r="C560" s="7" t="str">
        <f>HYPERLINK("https://data.sopsr.sk/chranene-objekty/chranene-uzemia/detail/SKUEV0942","Bradlové pásmo")</f>
        <v>Bradlové pásmo</v>
      </c>
      <c r="D560" s="33">
        <v>50.237900000000003</v>
      </c>
      <c r="E560" s="44" t="str">
        <f>HYPERLINK("https://natura2000.sopsr.sk/lokality/uev/lokality-uev/?uev=SKUEV0942","Odkaz")</f>
        <v>Odkaz</v>
      </c>
      <c r="F560" s="44" t="str">
        <f>HYPERLINK("https://natura2000.sopsr.sk/wp-content/uploads/natura/legislativa/uev/ciele/SKUEV0942.docx","Spracované")</f>
        <v>Spracované</v>
      </c>
      <c r="G560" s="23" t="s">
        <v>10</v>
      </c>
      <c r="H560" s="21" t="s">
        <v>972</v>
      </c>
      <c r="I560" s="21" t="s">
        <v>26</v>
      </c>
      <c r="J560" s="10" t="s">
        <v>1401</v>
      </c>
      <c r="K560" s="40">
        <v>40</v>
      </c>
    </row>
    <row r="561" spans="1:11" x14ac:dyDescent="0.25">
      <c r="A561" s="20" t="s">
        <v>1225</v>
      </c>
      <c r="B561" s="36" t="s">
        <v>1226</v>
      </c>
      <c r="C561" s="7" t="str">
        <f>HYPERLINK("https://data.sopsr.sk/chranene-objekty/chranene-uzemia/detail/SKUEV0943","Livovská jelšina")</f>
        <v>Livovská jelšina</v>
      </c>
      <c r="D561" s="33">
        <v>32.061799999999998</v>
      </c>
      <c r="E561" s="44" t="str">
        <f>HYPERLINK("https://natura2000.sopsr.sk/lokality/uev/lokality-uev/?uev=SKUEV0943","Odkaz")</f>
        <v>Odkaz</v>
      </c>
      <c r="F561" s="44" t="str">
        <f>HYPERLINK("https://natura2000.sopsr.sk/wp-content/uploads/natura/legislativa/uev/ciele/SKUEV0943.docx","Spracované")</f>
        <v>Spracované</v>
      </c>
      <c r="G561" s="23" t="s">
        <v>10</v>
      </c>
      <c r="H561" s="21" t="s">
        <v>972</v>
      </c>
      <c r="I561" s="21" t="s">
        <v>26</v>
      </c>
      <c r="J561" s="10" t="s">
        <v>1401</v>
      </c>
      <c r="K561" s="40">
        <v>36</v>
      </c>
    </row>
    <row r="562" spans="1:11" x14ac:dyDescent="0.25">
      <c r="A562" s="20" t="s">
        <v>1227</v>
      </c>
      <c r="B562" s="36" t="s">
        <v>1228</v>
      </c>
      <c r="C562" s="7" t="str">
        <f>HYPERLINK("https://data.sopsr.sk/chranene-objekty/chranene-uzemia/detail/SKUEV0944","Hornádske meandre")</f>
        <v>Hornádske meandre</v>
      </c>
      <c r="D562" s="33">
        <v>198.27260000000001</v>
      </c>
      <c r="E562" s="44" t="str">
        <f>HYPERLINK("https://natura2000.sopsr.sk/lokality/uev/lokality-uev/?uev=SKUEV0944","Odkaz")</f>
        <v>Odkaz</v>
      </c>
      <c r="F562" s="44" t="str">
        <f>HYPERLINK("https://natura2000.sopsr.sk/wp-content/uploads/natura/legislativa/uev/ciele/SKUEV0944.docx","Spracované")</f>
        <v>Spracované</v>
      </c>
      <c r="G562" s="23" t="s">
        <v>10</v>
      </c>
      <c r="H562" s="9" t="s">
        <v>91</v>
      </c>
      <c r="I562" s="9" t="s">
        <v>1174</v>
      </c>
      <c r="J562" s="10" t="s">
        <v>1401</v>
      </c>
      <c r="K562" s="40">
        <v>0</v>
      </c>
    </row>
    <row r="563" spans="1:11" x14ac:dyDescent="0.25">
      <c r="A563" s="20" t="s">
        <v>1229</v>
      </c>
      <c r="B563" s="36" t="s">
        <v>1230</v>
      </c>
      <c r="C563" s="7" t="str">
        <f>HYPERLINK("https://data.sopsr.sk/chranene-objekty/chranene-uzemia/detail/SKUEV0945","Trstinné lúky")</f>
        <v>Trstinné lúky</v>
      </c>
      <c r="D563" s="33">
        <v>60.020200000000003</v>
      </c>
      <c r="E563" s="44" t="str">
        <f>HYPERLINK("https://natura2000.sopsr.sk/lokality/uev/lokality-uev/?uev=SKUEV0945","Odkaz")</f>
        <v>Odkaz</v>
      </c>
      <c r="F563" s="44" t="str">
        <f>HYPERLINK("https://natura2000.sopsr.sk/wp-content/uploads/natura/legislativa/uev/ciele/SKUEV0945.docx","Spracované")</f>
        <v>Spracované</v>
      </c>
      <c r="G563" s="23" t="s">
        <v>10</v>
      </c>
      <c r="H563" s="21" t="s">
        <v>972</v>
      </c>
      <c r="I563" s="21" t="s">
        <v>26</v>
      </c>
      <c r="J563" s="9" t="s">
        <v>299</v>
      </c>
      <c r="K563" s="40">
        <v>92.7</v>
      </c>
    </row>
    <row r="564" spans="1:11" x14ac:dyDescent="0.25">
      <c r="A564" s="20" t="s">
        <v>1231</v>
      </c>
      <c r="B564" s="36" t="s">
        <v>1232</v>
      </c>
      <c r="C564" s="7" t="str">
        <f>HYPERLINK("https://data.sopsr.sk/chranene-objekty/chranene-uzemia/detail/SKUEV0947","Stredný tok Hrona")</f>
        <v>Stredný tok Hrona</v>
      </c>
      <c r="D564" s="33">
        <v>326.33460000000002</v>
      </c>
      <c r="E564" s="44" t="str">
        <f>HYPERLINK("https://natura2000.sopsr.sk/lokality/uev/lokality-uev/?uev=SKUEV0947","Odkaz")</f>
        <v>Odkaz</v>
      </c>
      <c r="F564" s="44" t="str">
        <f>HYPERLINK("https://natura2000.sopsr.sk/wp-content/uploads/natura/legislativa/uev/ciele/SKUEV0947.docx","Spracované")</f>
        <v>Spracované</v>
      </c>
      <c r="G564" s="23" t="s">
        <v>10</v>
      </c>
      <c r="H564" s="21" t="s">
        <v>972</v>
      </c>
      <c r="I564" s="21" t="s">
        <v>61</v>
      </c>
      <c r="J564" s="9" t="s">
        <v>52</v>
      </c>
      <c r="K564" s="40">
        <v>2</v>
      </c>
    </row>
    <row r="565" spans="1:11" ht="24.75" customHeight="1" x14ac:dyDescent="0.25">
      <c r="A565" s="20" t="s">
        <v>1233</v>
      </c>
      <c r="B565" s="36" t="s">
        <v>1234</v>
      </c>
      <c r="C565" s="7" t="str">
        <f>HYPERLINK("https://data.sopsr.sk/chranene-objekty/chranene-uzemia/detail/SKUEV0948","Bolerázske sysľovisko")</f>
        <v>Bolerázske sysľovisko</v>
      </c>
      <c r="D565" s="33">
        <v>56.570300000000003</v>
      </c>
      <c r="E565" s="44" t="str">
        <f>HYPERLINK("https://natura2000.sopsr.sk/lokality/uev/lokality-uev/?uev=SKUEV0948","Odkaz")</f>
        <v>Odkaz</v>
      </c>
      <c r="F565" s="44" t="str">
        <f>HYPERLINK("https://natura2000.sopsr.sk/wp-content/uploads/natura/legislativa/uev/ciele/SKUEV0948.docx","Spracované")</f>
        <v>Spracované</v>
      </c>
      <c r="G565" s="23" t="s">
        <v>10</v>
      </c>
      <c r="H565" s="9" t="s">
        <v>91</v>
      </c>
      <c r="I565" s="9" t="s">
        <v>167</v>
      </c>
      <c r="J565" s="9" t="s">
        <v>225</v>
      </c>
      <c r="K565" s="40">
        <v>0</v>
      </c>
    </row>
    <row r="566" spans="1:11" x14ac:dyDescent="0.25">
      <c r="A566" s="20" t="s">
        <v>1235</v>
      </c>
      <c r="B566" s="36" t="s">
        <v>1236</v>
      </c>
      <c r="C566" s="7" t="str">
        <f>HYPERLINK("https://data.sopsr.sk/chranene-objekty/chranene-uzemia/detail/SKUEV0950","Jordanec")</f>
        <v>Jordanec</v>
      </c>
      <c r="D566" s="33">
        <v>2.4748000000000001</v>
      </c>
      <c r="E566" s="44" t="str">
        <f>HYPERLINK("https://natura2000.sopsr.sk/lokality/uev/lokality-uev/?uev=SKUEV0950","Odkaz")</f>
        <v>Odkaz</v>
      </c>
      <c r="F566" s="44" t="str">
        <f>HYPERLINK("https://natura2000.sopsr.sk/wp-content/uploads/natura/legislativa/uev/ciele/SKUEV0950.docx","Spracované")</f>
        <v>Spracované</v>
      </c>
      <c r="G566" s="23" t="s">
        <v>10</v>
      </c>
      <c r="H566" s="21" t="s">
        <v>972</v>
      </c>
      <c r="I566" s="21" t="s">
        <v>26</v>
      </c>
      <c r="J566" s="9" t="s">
        <v>694</v>
      </c>
      <c r="K566" s="40">
        <v>100</v>
      </c>
    </row>
    <row r="567" spans="1:11" x14ac:dyDescent="0.25">
      <c r="A567" s="20" t="s">
        <v>1237</v>
      </c>
      <c r="B567" s="36" t="s">
        <v>1238</v>
      </c>
      <c r="C567" s="7" t="str">
        <f>HYPERLINK("https://data.sopsr.sk/chranene-objekty/chranene-uzemia/detail/SKUEV0951","Stredný tok Popradu")</f>
        <v>Stredný tok Popradu</v>
      </c>
      <c r="D567" s="33">
        <v>277.11579999999998</v>
      </c>
      <c r="E567" s="44" t="str">
        <f>HYPERLINK("https://natura2000.sopsr.sk/lokality/uev/lokality-uev/?uev=SKUEV0951","Odkaz")</f>
        <v>Odkaz</v>
      </c>
      <c r="F567" s="44" t="str">
        <f>HYPERLINK("https://natura2000.sopsr.sk/wp-content/uploads/natura/legislativa/uev/ciele/SKUEV0959.docx","Spracované")</f>
        <v>Spracované</v>
      </c>
      <c r="G567" s="23" t="s">
        <v>10</v>
      </c>
      <c r="H567" s="21" t="s">
        <v>972</v>
      </c>
      <c r="I567" s="21" t="s">
        <v>55</v>
      </c>
      <c r="J567" s="9" t="s">
        <v>694</v>
      </c>
      <c r="K567" s="40">
        <v>0</v>
      </c>
    </row>
    <row r="568" spans="1:11" x14ac:dyDescent="0.25">
      <c r="A568" s="20" t="s">
        <v>1239</v>
      </c>
      <c r="B568" s="36" t="s">
        <v>1240</v>
      </c>
      <c r="C568" s="7" t="str">
        <f>HYPERLINK("https://data.sopsr.sk/chranene-objekty/chranene-uzemia/detail/SKUEV0952","Tvarožecké lúky")</f>
        <v>Tvarožecké lúky</v>
      </c>
      <c r="D568" s="33">
        <v>76.1203</v>
      </c>
      <c r="E568" s="44" t="str">
        <f>HYPERLINK("https://natura2000.sopsr.sk/lokality/uev/lokality-uev/?uev=SKUEV0952","Odkaz")</f>
        <v>Odkaz</v>
      </c>
      <c r="F568" s="44" t="str">
        <f>HYPERLINK("https://natura2000.sopsr.sk/wp-content/uploads/natura/legislativa/uev/ciele/SKUEV0952.docx","Spracované")</f>
        <v>Spracované</v>
      </c>
      <c r="G568" s="23" t="s">
        <v>10</v>
      </c>
      <c r="H568" s="21" t="s">
        <v>972</v>
      </c>
      <c r="I568" s="21" t="s">
        <v>26</v>
      </c>
      <c r="J568" s="10" t="s">
        <v>1401</v>
      </c>
      <c r="K568" s="40">
        <v>0</v>
      </c>
    </row>
    <row r="569" spans="1:11" x14ac:dyDescent="0.25">
      <c r="A569" s="20" t="s">
        <v>1241</v>
      </c>
      <c r="B569" s="36" t="s">
        <v>1242</v>
      </c>
      <c r="C569" s="7" t="str">
        <f>HYPERLINK("https://data.sopsr.sk/chranene-objekty/chranene-uzemia/detail/SKUEV0953","Korunkovské lúky")</f>
        <v>Korunkovské lúky</v>
      </c>
      <c r="D569" s="33">
        <v>49.739699999999999</v>
      </c>
      <c r="E569" s="44" t="str">
        <f>HYPERLINK("https://natura2000.sopsr.sk/lokality/uev/lokality-uev/?uev=SKUEV0953","Odkaz")</f>
        <v>Odkaz</v>
      </c>
      <c r="F569" s="44" t="str">
        <f>HYPERLINK("https://natura2000.sopsr.sk/wp-content/uploads/natura/legislativa/uev/ciele/SKUEV0953.docx","Spracované")</f>
        <v>Spracované</v>
      </c>
      <c r="G569" s="23" t="s">
        <v>10</v>
      </c>
      <c r="H569" s="21" t="s">
        <v>11</v>
      </c>
      <c r="I569" s="21" t="s">
        <v>26</v>
      </c>
      <c r="J569" s="10" t="s">
        <v>1401</v>
      </c>
      <c r="K569" s="40">
        <v>0</v>
      </c>
    </row>
    <row r="570" spans="1:11" x14ac:dyDescent="0.25">
      <c r="A570" s="20" t="s">
        <v>1243</v>
      </c>
      <c r="B570" s="36" t="s">
        <v>1244</v>
      </c>
      <c r="C570" s="7" t="str">
        <f>HYPERLINK("https://data.sopsr.sk/chranene-objekty/chranene-uzemia/detail/SKUEV0954","Stredný tok Bodvy")</f>
        <v>Stredný tok Bodvy</v>
      </c>
      <c r="D570" s="33">
        <v>51.2699</v>
      </c>
      <c r="E570" s="44" t="str">
        <f>HYPERLINK("https://natura2000.sopsr.sk/lokality/uev/lokality-uev/?uev=SKUEV0954","Odkaz")</f>
        <v>Odkaz</v>
      </c>
      <c r="F570" s="44" t="str">
        <f>HYPERLINK("https://natura2000.sopsr.sk/wp-content/uploads/natura/legislativa/uev/ciele/SKUEV0954.docx","Spracované")</f>
        <v>Spracované</v>
      </c>
      <c r="G570" s="23" t="s">
        <v>10</v>
      </c>
      <c r="H570" s="9" t="s">
        <v>91</v>
      </c>
      <c r="I570" s="9" t="s">
        <v>21</v>
      </c>
      <c r="J570" s="9" t="s">
        <v>592</v>
      </c>
      <c r="K570" s="40">
        <v>0</v>
      </c>
    </row>
    <row r="571" spans="1:11" x14ac:dyDescent="0.25">
      <c r="A571" s="20" t="s">
        <v>1245</v>
      </c>
      <c r="B571" s="36" t="s">
        <v>1246</v>
      </c>
      <c r="C571" s="7" t="str">
        <f>HYPERLINK("https://data.sopsr.sk/chranene-objekty/chranene-uzemia/detail/SKUEV0956","Ľuborečské dubiny")</f>
        <v>Ľuborečské dubiny</v>
      </c>
      <c r="D571" s="33">
        <v>440.97109999999998</v>
      </c>
      <c r="E571" s="44" t="str">
        <f>HYPERLINK("https://natura2000.sopsr.sk/lokality/uev/lokality-uev/?uev=SKUEV0956","Odkaz")</f>
        <v>Odkaz</v>
      </c>
      <c r="F571" s="44" t="str">
        <f>HYPERLINK("https://natura2000.sopsr.sk/wp-content/uploads/natura/legislativa/uev/ciele/SKUEV0956.docx","Spracované")</f>
        <v>Spracované</v>
      </c>
      <c r="G571" s="23" t="s">
        <v>10</v>
      </c>
      <c r="H571" s="21" t="s">
        <v>972</v>
      </c>
      <c r="I571" s="21" t="s">
        <v>12</v>
      </c>
      <c r="J571" s="9" t="s">
        <v>999</v>
      </c>
      <c r="K571" s="40">
        <v>0</v>
      </c>
    </row>
    <row r="572" spans="1:11" x14ac:dyDescent="0.25">
      <c r="A572" s="20" t="s">
        <v>1247</v>
      </c>
      <c r="B572" s="36" t="s">
        <v>1248</v>
      </c>
      <c r="C572" s="7" t="str">
        <f>HYPERLINK("https://data.sopsr.sk/chranene-objekty/chranene-uzemia/detail/SKUEV0957","Uderinky")</f>
        <v>Uderinky</v>
      </c>
      <c r="D572" s="33">
        <v>101.11190000000001</v>
      </c>
      <c r="E572" s="44" t="str">
        <f>HYPERLINK("https://natura2000.sopsr.sk/lokality/uev/lokality-uev/?uev=SKUEV0957","Odkaz")</f>
        <v>Odkaz</v>
      </c>
      <c r="F572" s="44" t="str">
        <f>HYPERLINK("https://natura2000.sopsr.sk/wp-content/uploads/natura/legislativa/uev/ciele/SKUEV0957.docx","Spracované")</f>
        <v>Spracované</v>
      </c>
      <c r="G572" s="23" t="s">
        <v>10</v>
      </c>
      <c r="H572" s="21" t="s">
        <v>11</v>
      </c>
      <c r="I572" s="21" t="s">
        <v>1249</v>
      </c>
      <c r="J572" s="9" t="s">
        <v>999</v>
      </c>
      <c r="K572" s="40">
        <v>0</v>
      </c>
    </row>
    <row r="573" spans="1:11" x14ac:dyDescent="0.25">
      <c r="A573" s="20" t="s">
        <v>1250</v>
      </c>
      <c r="B573" s="36" t="s">
        <v>1251</v>
      </c>
      <c r="C573" s="7" t="str">
        <f>HYPERLINK("https://data.sopsr.sk/chranene-objekty/chranene-uzemia/detail/SKUEV0958","Stredný tok Ipľa")</f>
        <v>Stredný tok Ipľa</v>
      </c>
      <c r="D573" s="33">
        <v>111.3395</v>
      </c>
      <c r="E573" s="44" t="str">
        <f>HYPERLINK("https://natura2000.sopsr.sk/lokality/uev/lokality-uev/?uev=SKUEV0958","Odkaz")</f>
        <v>Odkaz</v>
      </c>
      <c r="F573" s="44" t="str">
        <f>HYPERLINK("https://natura2000.sopsr.sk/wp-content/uploads/natura/legislativa/uev/ciele/SKUEV0958.docx","Spracované")</f>
        <v>Spracované</v>
      </c>
      <c r="G573" s="23" t="s">
        <v>10</v>
      </c>
      <c r="H573" s="21" t="s">
        <v>963</v>
      </c>
      <c r="I573" s="21" t="s">
        <v>12</v>
      </c>
      <c r="J573" s="9" t="s">
        <v>52</v>
      </c>
      <c r="K573" s="40">
        <v>0</v>
      </c>
    </row>
    <row r="574" spans="1:11" x14ac:dyDescent="0.25">
      <c r="A574" s="20" t="s">
        <v>1252</v>
      </c>
      <c r="B574" s="36" t="s">
        <v>1253</v>
      </c>
      <c r="C574" s="7" t="str">
        <f>HYPERLINK("https://data.sopsr.sk/chranene-objekty/chranene-uzemia/detail/SKUEV0959","Galamia")</f>
        <v>Galamia</v>
      </c>
      <c r="D574" s="33">
        <v>18.182200000000002</v>
      </c>
      <c r="E574" s="44" t="str">
        <f>HYPERLINK("https://natura2000.sopsr.sk/lokality/uev/lokality-uev/?uev=SKUEV0959","Odkaz")</f>
        <v>Odkaz</v>
      </c>
      <c r="F574" s="44" t="str">
        <f>HYPERLINK("https://natura2000.sopsr.sk/wp-content/uploads/natura/legislativa/uev/ciele/SKUEV0959.docx","Spracované")</f>
        <v>Spracované</v>
      </c>
      <c r="G574" s="23" t="s">
        <v>10</v>
      </c>
      <c r="H574" s="21" t="s">
        <v>963</v>
      </c>
      <c r="I574" s="21" t="s">
        <v>61</v>
      </c>
      <c r="J574" s="9" t="s">
        <v>52</v>
      </c>
      <c r="K574" s="40">
        <v>0</v>
      </c>
    </row>
    <row r="575" spans="1:11" x14ac:dyDescent="0.25">
      <c r="A575" s="20" t="s">
        <v>1254</v>
      </c>
      <c r="B575" s="36" t="s">
        <v>1255</v>
      </c>
      <c r="C575" s="7" t="str">
        <f>HYPERLINK("https://data.sopsr.sk/chranene-objekty/chranene-uzemia/detail/SKUEV0960","Niva Turca")</f>
        <v>Niva Turca</v>
      </c>
      <c r="D575" s="33">
        <v>137.64850000000001</v>
      </c>
      <c r="E575" s="44" t="str">
        <f>HYPERLINK("https://natura2000.sopsr.sk/lokality/uev/lokality-uev/?uev=SKUEV0960","Odkaz")</f>
        <v>Odkaz</v>
      </c>
      <c r="F575" s="44" t="str">
        <f>HYPERLINK("https://natura2000.sopsr.sk/wp-content/uploads/natura/legislativa/uev/ciele/SKUEV0960.docx","Spracované")</f>
        <v>Spracované</v>
      </c>
      <c r="G575" s="23" t="s">
        <v>10</v>
      </c>
      <c r="H575" s="21" t="s">
        <v>972</v>
      </c>
      <c r="I575" s="21" t="s">
        <v>127</v>
      </c>
      <c r="J575" s="9" t="s">
        <v>316</v>
      </c>
      <c r="K575" s="40">
        <v>28.8</v>
      </c>
    </row>
    <row r="576" spans="1:11" x14ac:dyDescent="0.25">
      <c r="A576" s="20" t="s">
        <v>1256</v>
      </c>
      <c r="B576" s="36" t="s">
        <v>1257</v>
      </c>
      <c r="C576" s="7" t="str">
        <f>HYPERLINK("https://data.sopsr.sk/chranene-objekty/chranene-uzemia/detail/SKUEV0963","Osadská")</f>
        <v>Osadská</v>
      </c>
      <c r="D576" s="33">
        <v>112.7397</v>
      </c>
      <c r="E576" s="44" t="str">
        <f>HYPERLINK("https://natura2000.sopsr.sk/lokality/uev/lokality-uev/?uev=SKUEV0963","Odkaz")</f>
        <v>Odkaz</v>
      </c>
      <c r="F576" s="44" t="str">
        <f>HYPERLINK("https://natura2000.sopsr.sk/wp-content/uploads/natura/legislativa/uev/ciele/SKUEV0963.docx","Spracované")</f>
        <v>Spracované</v>
      </c>
      <c r="G576" s="23" t="s">
        <v>10</v>
      </c>
      <c r="H576" s="21" t="s">
        <v>972</v>
      </c>
      <c r="I576" s="21" t="s">
        <v>1035</v>
      </c>
      <c r="J576" s="9" t="s">
        <v>128</v>
      </c>
      <c r="K576" s="40">
        <v>100</v>
      </c>
    </row>
    <row r="577" spans="1:11" x14ac:dyDescent="0.25">
      <c r="A577" s="20" t="s">
        <v>1258</v>
      </c>
      <c r="B577" s="36" t="s">
        <v>1259</v>
      </c>
      <c r="C577" s="7" t="str">
        <f>HYPERLINK("https://data.sopsr.sk/chranene-objekty/chranene-uzemia/detail/SKUEV0964","Lesnianska hoľa")</f>
        <v>Lesnianska hoľa</v>
      </c>
      <c r="D577" s="33">
        <v>122.8496</v>
      </c>
      <c r="E577" s="44" t="str">
        <f>HYPERLINK("https://natura2000.sopsr.sk/lokality/uev/lokality-uev/?uev=SKUEV0964","Odkaz")</f>
        <v>Odkaz</v>
      </c>
      <c r="F577" s="44" t="str">
        <f>HYPERLINK("https://natura2000.sopsr.sk/wp-content/uploads/natura/legislativa/uev/ciele/SKUEV0964.docx","Spracované")</f>
        <v>Spracované</v>
      </c>
      <c r="G577" s="23" t="s">
        <v>10</v>
      </c>
      <c r="H577" s="21" t="s">
        <v>972</v>
      </c>
      <c r="I577" s="21" t="s">
        <v>1035</v>
      </c>
      <c r="J577" s="9" t="s">
        <v>128</v>
      </c>
      <c r="K577" s="40">
        <v>100</v>
      </c>
    </row>
    <row r="578" spans="1:11" x14ac:dyDescent="0.25">
      <c r="A578" s="20" t="s">
        <v>1260</v>
      </c>
      <c r="B578" s="36" t="s">
        <v>1261</v>
      </c>
      <c r="C578" s="7" t="str">
        <f>HYPERLINK("https://data.sopsr.sk/chranene-objekty/chranene-uzemia/detail/SKUEV0965","Viniansky hradný vrch")</f>
        <v>Viniansky hradný vrch</v>
      </c>
      <c r="D578" s="33">
        <v>51.95</v>
      </c>
      <c r="E578" s="44" t="str">
        <f>HYPERLINK("https://natura2000.sopsr.sk/lokality/uev/lokality-uev/?uev=SKUEV0965","Odkaz")</f>
        <v>Odkaz</v>
      </c>
      <c r="F578" s="44" t="str">
        <f>HYPERLINK("https://natura2000.sopsr.sk/wp-content/uploads/natura/legislativa/uev/ciele/SKUEV0965.docx","Spracované")</f>
        <v>Spracované</v>
      </c>
      <c r="G578" s="23" t="s">
        <v>10</v>
      </c>
      <c r="H578" s="21" t="s">
        <v>972</v>
      </c>
      <c r="I578" s="21" t="s">
        <v>64</v>
      </c>
      <c r="J578" s="9" t="s">
        <v>444</v>
      </c>
      <c r="K578" s="40">
        <v>100</v>
      </c>
    </row>
    <row r="579" spans="1:11" x14ac:dyDescent="0.25">
      <c r="A579" s="20" t="s">
        <v>1262</v>
      </c>
      <c r="B579" s="36" t="s">
        <v>1263</v>
      </c>
      <c r="C579" s="7" t="str">
        <f>HYPERLINK("https://data.sopsr.sk/chranene-objekty/chranene-uzemia/detail/SKUEV0966","Vinianska stráň")</f>
        <v>Vinianska stráň</v>
      </c>
      <c r="D579" s="33">
        <v>28.480799999999999</v>
      </c>
      <c r="E579" s="44" t="str">
        <f>HYPERLINK("https://natura2000.sopsr.sk/lokality/uev/lokality-uev/?uev=SKUEV0966","Odkaz")</f>
        <v>Odkaz</v>
      </c>
      <c r="F579" s="44" t="str">
        <f>HYPERLINK("https://natura2000.sopsr.sk/wp-content/uploads/natura/legislativa/uev/ciele/SKUEV0966.docx","Spracované")</f>
        <v>Spracované</v>
      </c>
      <c r="G579" s="23" t="s">
        <v>10</v>
      </c>
      <c r="H579" s="21" t="s">
        <v>972</v>
      </c>
      <c r="I579" s="21" t="s">
        <v>1174</v>
      </c>
      <c r="J579" s="9" t="s">
        <v>444</v>
      </c>
      <c r="K579" s="40">
        <v>100</v>
      </c>
    </row>
    <row r="580" spans="1:11" x14ac:dyDescent="0.25">
      <c r="A580" s="20" t="s">
        <v>1264</v>
      </c>
      <c r="B580" s="36" t="s">
        <v>1265</v>
      </c>
      <c r="C580" s="7" t="str">
        <f>HYPERLINK("https://data.sopsr.sk/chranene-objekty/chranene-uzemia/detail/SKUEV0967","Modransko-tŕňanské pustáky")</f>
        <v>Modransko-tŕňanské pustáky</v>
      </c>
      <c r="D580" s="33">
        <v>352.48540000000003</v>
      </c>
      <c r="E580" s="44" t="str">
        <f>HYPERLINK("https://natura2000.sopsr.sk/lokality/uev/lokality-uev/?uev=SKUEV0967","Odkaz")</f>
        <v>Odkaz</v>
      </c>
      <c r="F580" s="44" t="str">
        <f>HYPERLINK("https://natura2000.sopsr.sk/wp-content/uploads/natura/legislativa/uev/ciele/SKUEV0967.docx","Spracované")</f>
        <v>Spracované</v>
      </c>
      <c r="G580" s="23" t="s">
        <v>10</v>
      </c>
      <c r="H580" s="21" t="s">
        <v>972</v>
      </c>
      <c r="I580" s="21" t="s">
        <v>964</v>
      </c>
      <c r="J580" s="9" t="s">
        <v>225</v>
      </c>
      <c r="K580" s="40">
        <v>99</v>
      </c>
    </row>
    <row r="581" spans="1:11" x14ac:dyDescent="0.25">
      <c r="A581" s="20" t="s">
        <v>1266</v>
      </c>
      <c r="B581" s="36" t="s">
        <v>1267</v>
      </c>
      <c r="C581" s="7" t="str">
        <f>HYPERLINK("https://data.sopsr.sk/chranene-objekty/chranene-uzemia/detail/SKUEV0968","Pod Misárňami")</f>
        <v>Pod Misárňami</v>
      </c>
      <c r="D581" s="33">
        <v>3.7736999999999998</v>
      </c>
      <c r="E581" s="44" t="str">
        <f>HYPERLINK("https://natura2000.sopsr.sk/lokality/uev/lokality-uev/?uev=SKUEV0968","Odkaz")</f>
        <v>Odkaz</v>
      </c>
      <c r="F581" s="44" t="str">
        <f>HYPERLINK("https://natura2000.sopsr.sk/wp-content/uploads/natura/legislativa/uev/ciele/SKUEV0968.docx","Spracované")</f>
        <v>Spracované</v>
      </c>
      <c r="G581" s="23" t="s">
        <v>10</v>
      </c>
      <c r="H581" s="21" t="s">
        <v>972</v>
      </c>
      <c r="I581" s="21" t="s">
        <v>55</v>
      </c>
      <c r="J581" s="10" t="s">
        <v>1401</v>
      </c>
      <c r="K581" s="40">
        <v>0</v>
      </c>
    </row>
    <row r="582" spans="1:11" x14ac:dyDescent="0.25">
      <c r="A582" s="20" t="s">
        <v>1268</v>
      </c>
      <c r="B582" s="36" t="s">
        <v>1269</v>
      </c>
      <c r="C582" s="7" t="str">
        <f>HYPERLINK("https://data.sopsr.sk/chranene-objekty/chranene-uzemia/detail/SKUEV0969","Hradné lúky")</f>
        <v>Hradné lúky</v>
      </c>
      <c r="D582" s="33">
        <v>59.639200000000002</v>
      </c>
      <c r="E582" s="44" t="str">
        <f>HYPERLINK("https://natura2000.sopsr.sk/lokality/uev/lokality-uev/?uev=SKUEV0969","Odkaz")</f>
        <v>Odkaz</v>
      </c>
      <c r="F582" s="44" t="str">
        <f>HYPERLINK("https://natura2000.sopsr.sk/wp-content/uploads/natura/legislativa/uev/ciele/SKUEV0969.docx","Spracované")</f>
        <v>Spracované</v>
      </c>
      <c r="G582" s="23" t="s">
        <v>10</v>
      </c>
      <c r="H582" s="21" t="s">
        <v>972</v>
      </c>
      <c r="I582" s="21" t="s">
        <v>61</v>
      </c>
      <c r="J582" s="9" t="s">
        <v>34</v>
      </c>
      <c r="K582" s="40">
        <v>0</v>
      </c>
    </row>
    <row r="583" spans="1:11" x14ac:dyDescent="0.25">
      <c r="A583" s="26" t="s">
        <v>1270</v>
      </c>
      <c r="B583" s="36" t="s">
        <v>1336</v>
      </c>
      <c r="C583" s="7" t="str">
        <f>HYPERLINK("https://data.sopsr.sk/chranene-objekty/chranene-uzemia/detail/SKUEV4000","Silickobrezovské lúky")</f>
        <v>Silickobrezovské lúky</v>
      </c>
      <c r="D583" s="33">
        <v>351.78120000000001</v>
      </c>
      <c r="E583" s="44" t="str">
        <f>HYPERLINK("https://natura2000.sopsr.sk/lokality/uev/lokality-uev/?uev=SKUEV4000","Odkaz")</f>
        <v>Odkaz</v>
      </c>
      <c r="F583" s="44" t="str">
        <f>HYPERLINK("https://natura2000.sopsr.sk/wp-content/uploads/natura/legislativa/uev/ciele/SKUEV4000.docx","Spracované")</f>
        <v>Spracované</v>
      </c>
      <c r="G583" s="22"/>
      <c r="H583" s="27" t="s">
        <v>20</v>
      </c>
      <c r="I583" s="22" t="s">
        <v>64</v>
      </c>
      <c r="J583" s="9" t="s">
        <v>592</v>
      </c>
      <c r="K583" s="40">
        <v>39</v>
      </c>
    </row>
    <row r="584" spans="1:11" x14ac:dyDescent="0.25">
      <c r="A584" s="26" t="s">
        <v>1271</v>
      </c>
      <c r="B584" s="36" t="s">
        <v>1337</v>
      </c>
      <c r="C584" s="7" t="str">
        <f>HYPERLINK("https://data.sopsr.sk/chranene-objekty/chranene-uzemia/detail/SKUEV4001","Lúky Horného vrchu")</f>
        <v>Lúky Horného vrchu</v>
      </c>
      <c r="D584" s="33">
        <v>256.95929999999998</v>
      </c>
      <c r="E584" s="44" t="str">
        <f>HYPERLINK("https://natura2000.sopsr.sk/lokality/uev/lokality-uev/?uev=SKUEV4001","Odkaz")</f>
        <v>Odkaz</v>
      </c>
      <c r="F584" s="44" t="str">
        <f>HYPERLINK("https://natura2000.sopsr.sk/wp-content/uploads/natura/legislativa/uev/ciele/SKUEV4001.docx","Spracované")</f>
        <v>Spracované</v>
      </c>
      <c r="G584" s="22"/>
      <c r="H584" s="27" t="s">
        <v>11</v>
      </c>
      <c r="I584" s="22" t="s">
        <v>64</v>
      </c>
      <c r="J584" s="9" t="s">
        <v>592</v>
      </c>
      <c r="K584" s="40">
        <v>100</v>
      </c>
    </row>
    <row r="585" spans="1:11" x14ac:dyDescent="0.25">
      <c r="A585" s="26" t="s">
        <v>1272</v>
      </c>
      <c r="B585" s="36" t="s">
        <v>1350</v>
      </c>
      <c r="C585" s="7" t="str">
        <f>HYPERLINK("https://data.sopsr.sk/chranene-objekty/chranene-uzemia/detail/SKUEV4002","Za Kolibabovcami")</f>
        <v>Za Kolibabovcami</v>
      </c>
      <c r="D585" s="33">
        <v>2.9358</v>
      </c>
      <c r="E585" s="44" t="str">
        <f>HYPERLINK("https://natura2000.sopsr.sk/lokality/uev/lokality-uev/?uev=SKUEV4002","Odkaz")</f>
        <v>Odkaz</v>
      </c>
      <c r="F585" s="44" t="str">
        <f>HYPERLINK("https://natura2000.sopsr.sk/wp-content/uploads/natura/legislativa/uev/ciele/SKUEV4002.docx","Spracované")</f>
        <v>Spracované</v>
      </c>
      <c r="G585" s="22"/>
      <c r="H585" s="27" t="s">
        <v>20</v>
      </c>
      <c r="I585" s="22" t="s">
        <v>64</v>
      </c>
      <c r="J585" s="9" t="s">
        <v>444</v>
      </c>
      <c r="K585" s="40">
        <v>0</v>
      </c>
    </row>
    <row r="586" spans="1:11" x14ac:dyDescent="0.25">
      <c r="A586" s="26" t="s">
        <v>1273</v>
      </c>
      <c r="B586" s="36" t="s">
        <v>1351</v>
      </c>
      <c r="C586" s="7" t="str">
        <f>HYPERLINK("https://data.sopsr.sk/chranene-objekty/chranene-uzemia/detail/SKUEV4003","Cifra")</f>
        <v>Cifra</v>
      </c>
      <c r="D586" s="33">
        <v>171.67609999999999</v>
      </c>
      <c r="E586" s="44" t="str">
        <f>HYPERLINK("https://natura2000.sopsr.sk/lokality/uev/lokality-uev/?uev=SKUEV4003","Odkaz")</f>
        <v>Odkaz</v>
      </c>
      <c r="F586" s="44" t="str">
        <f>HYPERLINK("https://natura2000.sopsr.sk/wp-content/uploads/natura/legislativa/uev/ciele/SKUEV4003.docx","Spracované")</f>
        <v>Spracované</v>
      </c>
      <c r="G586" s="22"/>
      <c r="H586" s="27" t="s">
        <v>20</v>
      </c>
      <c r="I586" s="21" t="s">
        <v>61</v>
      </c>
      <c r="J586" s="9" t="s">
        <v>999</v>
      </c>
      <c r="K586" s="40">
        <v>0</v>
      </c>
    </row>
    <row r="587" spans="1:11" x14ac:dyDescent="0.25">
      <c r="A587" s="26" t="s">
        <v>1274</v>
      </c>
      <c r="B587" s="36" t="s">
        <v>1338</v>
      </c>
      <c r="C587" s="7" t="str">
        <f>HYPERLINK("https://data.sopsr.sk/chranene-objekty/chranene-uzemia/detail/SKUEV4004","Veľká lúka")</f>
        <v>Veľká lúka</v>
      </c>
      <c r="D587" s="33">
        <v>15.1471</v>
      </c>
      <c r="E587" s="44" t="str">
        <f>HYPERLINK("https://natura2000.sopsr.sk/lokality/uev/lokality-uev/?uev=SKUEV4004","Odkaz")</f>
        <v>Odkaz</v>
      </c>
      <c r="F587" s="44" t="str">
        <f>HYPERLINK("https://natura2000.sopsr.sk/wp-content/uploads/natura/legislativa/uev/ciele/SKUEV4004.docx","Spracované")</f>
        <v>Spracované</v>
      </c>
      <c r="G587" s="22"/>
      <c r="H587" s="27" t="s">
        <v>20</v>
      </c>
      <c r="I587" s="21" t="s">
        <v>61</v>
      </c>
      <c r="J587" s="9" t="s">
        <v>999</v>
      </c>
      <c r="K587" s="40">
        <v>100</v>
      </c>
    </row>
    <row r="588" spans="1:11" x14ac:dyDescent="0.25">
      <c r="A588" s="26" t="s">
        <v>1275</v>
      </c>
      <c r="B588" s="36" t="s">
        <v>1352</v>
      </c>
      <c r="C588" s="7" t="str">
        <f>HYPERLINK("https://data.sopsr.sk/chranene-objekty/chranene-uzemia/detail/SKUEV4005","Solivarsko- švábske dúbravy")</f>
        <v>Solivarsko- švábske dúbravy</v>
      </c>
      <c r="D588" s="33">
        <v>541.61530000000005</v>
      </c>
      <c r="E588" s="44" t="str">
        <f>HYPERLINK("https://natura2000.sopsr.sk/lokality/uev/lokality-uev/?uev=SKUEV4005","Odkaz")</f>
        <v>Odkaz</v>
      </c>
      <c r="F588" s="44" t="str">
        <f>HYPERLINK("https://natura2000.sopsr.sk/wp-content/uploads/natura/legislativa/uev/ciele/SKUEV4005.docx","Spracované")</f>
        <v>Spracované</v>
      </c>
      <c r="G588" s="22"/>
      <c r="H588" s="27" t="s">
        <v>11</v>
      </c>
      <c r="I588" s="22" t="s">
        <v>26</v>
      </c>
      <c r="J588" s="10" t="s">
        <v>1401</v>
      </c>
      <c r="K588" s="40">
        <v>0</v>
      </c>
    </row>
    <row r="589" spans="1:11" x14ac:dyDescent="0.25">
      <c r="A589" s="26" t="s">
        <v>1276</v>
      </c>
      <c r="B589" s="36" t="s">
        <v>1353</v>
      </c>
      <c r="C589" s="7" t="str">
        <f>HYPERLINK("https://data.sopsr.sk/chranene-objekty/chranene-uzemia/detail/SKUEV4006","Inovecké dubiny")</f>
        <v>Inovecké dubiny</v>
      </c>
      <c r="D589" s="33">
        <v>428.46690000000001</v>
      </c>
      <c r="E589" s="44" t="str">
        <f>HYPERLINK("https://natura2000.sopsr.sk/lokality/uev/lokality-uev/?uev=SKUEV4006","Odkaz")</f>
        <v>Odkaz</v>
      </c>
      <c r="F589" s="44" t="str">
        <f>HYPERLINK("https://natura2000.sopsr.sk/wp-content/uploads/natura/legislativa/uev/ciele/SKUEV4006.docx","Spracované")</f>
        <v>Spracované</v>
      </c>
      <c r="G589" s="22"/>
      <c r="H589" s="27" t="s">
        <v>11</v>
      </c>
      <c r="I589" s="10" t="s">
        <v>167</v>
      </c>
      <c r="J589" s="9" t="s">
        <v>225</v>
      </c>
      <c r="K589" s="40">
        <v>0</v>
      </c>
    </row>
    <row r="590" spans="1:11" x14ac:dyDescent="0.25">
      <c r="A590" s="26" t="s">
        <v>1277</v>
      </c>
      <c r="B590" s="36" t="s">
        <v>1354</v>
      </c>
      <c r="C590" s="7" t="str">
        <f>HYPERLINK("https://data.sopsr.sk/chranene-objekty/chranene-uzemia/detail/SKUEV4007","Dolný tok Torysy")</f>
        <v>Dolný tok Torysy</v>
      </c>
      <c r="D590" s="33">
        <v>258.0677</v>
      </c>
      <c r="E590" s="44" t="str">
        <f>HYPERLINK("https://natura2000.sopsr.sk/lokality/uev/lokality-uev/?uev=SKUEV4007","Odkaz")</f>
        <v>Odkaz</v>
      </c>
      <c r="F590" s="44" t="str">
        <f>HYPERLINK("https://natura2000.sopsr.sk/wp-content/uploads/natura/legislativa/uev/ciele/SKUEV4007.docx","Spracované")</f>
        <v>Spracované</v>
      </c>
      <c r="G590" s="22"/>
      <c r="H590" s="9" t="s">
        <v>91</v>
      </c>
      <c r="I590" s="22" t="s">
        <v>26</v>
      </c>
      <c r="J590" s="10" t="s">
        <v>1401</v>
      </c>
      <c r="K590" s="40">
        <v>0</v>
      </c>
    </row>
    <row r="591" spans="1:11" x14ac:dyDescent="0.25">
      <c r="A591" s="26" t="s">
        <v>1278</v>
      </c>
      <c r="B591" s="36" t="s">
        <v>1355</v>
      </c>
      <c r="C591" s="7" t="str">
        <f>HYPERLINK("https://data.sopsr.sk/chranene-objekty/chranene-uzemia/detail/SKUEV4008","Stredný tok Ondavy")</f>
        <v>Stredný tok Ondavy</v>
      </c>
      <c r="D591" s="33">
        <v>155.3049</v>
      </c>
      <c r="E591" s="44" t="str">
        <f>HYPERLINK("https://natura2000.sopsr.sk/lokality/uev/lokality-uev/?uev=SKUEV4008","Odkaz")</f>
        <v>Odkaz</v>
      </c>
      <c r="F591" s="44" t="str">
        <f>HYPERLINK("https://natura2000.sopsr.sk/wp-content/uploads/natura/legislativa/uev/ciele/SKUEV4008.docx","Spracované")</f>
        <v>Spracované</v>
      </c>
      <c r="G591" s="22"/>
      <c r="H591" s="27" t="s">
        <v>11</v>
      </c>
      <c r="I591" s="22" t="s">
        <v>26</v>
      </c>
      <c r="J591" s="10" t="s">
        <v>1401</v>
      </c>
      <c r="K591" s="40">
        <v>0</v>
      </c>
    </row>
    <row r="592" spans="1:11" x14ac:dyDescent="0.25">
      <c r="A592" s="26" t="s">
        <v>1279</v>
      </c>
      <c r="B592" s="36" t="s">
        <v>1356</v>
      </c>
      <c r="C592" s="7" t="str">
        <f>HYPERLINK("https://data.sopsr.sk/chranene-objekty/chranene-uzemia/detail/SKUEV4009","Dolný tok Oľšavy")</f>
        <v>Dolný tok Oľšavy</v>
      </c>
      <c r="D592" s="33">
        <v>44.153500000000001</v>
      </c>
      <c r="E592" s="44" t="str">
        <f>HYPERLINK("https://natura2000.sopsr.sk/lokality/uev/lokality-uev/?uev=SKUEV4009","Odkaz")</f>
        <v>Odkaz</v>
      </c>
      <c r="F592" s="44" t="str">
        <f>HYPERLINK("https://natura2000.sopsr.sk/wp-content/uploads/natura/legislativa/uev/ciele/SKUEV4009.docx","Spracované")</f>
        <v>Spracované</v>
      </c>
      <c r="G592" s="22"/>
      <c r="H592" s="9" t="s">
        <v>91</v>
      </c>
      <c r="I592" s="22" t="s">
        <v>64</v>
      </c>
      <c r="J592" s="10" t="s">
        <v>1401</v>
      </c>
      <c r="K592" s="40">
        <v>0</v>
      </c>
    </row>
    <row r="593" spans="1:11" x14ac:dyDescent="0.25">
      <c r="A593" s="26" t="s">
        <v>1280</v>
      </c>
      <c r="B593" s="36" t="s">
        <v>1357</v>
      </c>
      <c r="C593" s="7" t="str">
        <f>HYPERLINK("https://data.sopsr.sk/chranene-objekty/chranene-uzemia/detail/SKUEV4010","Dolný tok Hornádu")</f>
        <v>Dolný tok Hornádu</v>
      </c>
      <c r="D593" s="33">
        <v>155.98439999999999</v>
      </c>
      <c r="E593" s="44" t="str">
        <f>HYPERLINK("https://natura2000.sopsr.sk/lokality/uev/lokality-uev/?uev=SKUEV4010","Odkaz")</f>
        <v>Odkaz</v>
      </c>
      <c r="F593" s="44" t="str">
        <f>HYPERLINK("https://natura2000.sopsr.sk/wp-content/uploads/natura/legislativa/uev/ciele/SKUEV4010.docx","Spracované")</f>
        <v>Spracované</v>
      </c>
      <c r="G593" s="22"/>
      <c r="H593" s="9" t="s">
        <v>91</v>
      </c>
      <c r="I593" s="22" t="s">
        <v>64</v>
      </c>
      <c r="J593" s="10" t="s">
        <v>1401</v>
      </c>
      <c r="K593" s="40">
        <v>0</v>
      </c>
    </row>
    <row r="594" spans="1:11" x14ac:dyDescent="0.25">
      <c r="A594" s="26" t="s">
        <v>1281</v>
      </c>
      <c r="B594" s="36" t="s">
        <v>1358</v>
      </c>
      <c r="C594" s="7" t="str">
        <f>HYPERLINK("https://data.sopsr.sk/chranene-objekty/chranene-uzemia/detail/SKUEV4011","Črmeľ")</f>
        <v>Črmeľ</v>
      </c>
      <c r="D594" s="33">
        <v>8.2477</v>
      </c>
      <c r="E594" s="44" t="str">
        <f>HYPERLINK("https://natura2000.sopsr.sk/lokality/uev/lokality-uev/?uev=SKUEV4011","Odkaz")</f>
        <v>Odkaz</v>
      </c>
      <c r="F594" s="44" t="str">
        <f>HYPERLINK("https://natura2000.sopsr.sk/wp-content/uploads/natura/legislativa/uev/ciele/SKUEV4011.docx","Spracované")</f>
        <v>Spracované</v>
      </c>
      <c r="G594" s="22"/>
      <c r="H594" s="9" t="s">
        <v>91</v>
      </c>
      <c r="I594" s="22" t="s">
        <v>64</v>
      </c>
      <c r="J594" s="10" t="s">
        <v>1401</v>
      </c>
      <c r="K594" s="40">
        <v>0</v>
      </c>
    </row>
    <row r="595" spans="1:11" x14ac:dyDescent="0.25">
      <c r="A595" s="26" t="s">
        <v>1282</v>
      </c>
      <c r="B595" s="36" t="s">
        <v>1359</v>
      </c>
      <c r="C595" s="7" t="str">
        <f>HYPERLINK("https://data.sopsr.sk/chranene-objekty/chranene-uzemia/detail/SKUEV4012","Alúvium Západného Turca")</f>
        <v>Alúvium Západného Turca</v>
      </c>
      <c r="D595" s="33">
        <v>198.61070000000001</v>
      </c>
      <c r="E595" s="44" t="str">
        <f>HYPERLINK("https://natura2000.sopsr.sk/lokality/uev/lokality-uev/?uev=SKUEV4012","Odkaz")</f>
        <v>Odkaz</v>
      </c>
      <c r="F595" s="44" t="str">
        <f>HYPERLINK("https://natura2000.sopsr.sk/wp-content/uploads/natura/legislativa/uev/ciele/SKUEV4012.docx","Spracované")</f>
        <v>Spracované</v>
      </c>
      <c r="G595" s="22"/>
      <c r="H595" s="9" t="s">
        <v>91</v>
      </c>
      <c r="I595" s="21" t="s">
        <v>61</v>
      </c>
      <c r="J595" s="9" t="s">
        <v>13</v>
      </c>
      <c r="K595" s="40">
        <v>0</v>
      </c>
    </row>
    <row r="596" spans="1:11" x14ac:dyDescent="0.25">
      <c r="A596" s="26" t="s">
        <v>1283</v>
      </c>
      <c r="B596" s="36" t="s">
        <v>1360</v>
      </c>
      <c r="C596" s="7" t="str">
        <f>HYPERLINK("https://data.sopsr.sk/chranene-objekty/chranene-uzemia/detail/SKUEV4013","Dolný tok Okny")</f>
        <v>Dolný tok Okny</v>
      </c>
      <c r="D596" s="33">
        <v>28.374099999999999</v>
      </c>
      <c r="E596" s="44" t="str">
        <f>HYPERLINK("https://natura2000.sopsr.sk/lokality/uev/lokality-uev/?uev=SKUEV4013","Odkaz")</f>
        <v>Odkaz</v>
      </c>
      <c r="F596" s="44" t="str">
        <f>HYPERLINK("https://natura2000.sopsr.sk/wp-content/uploads/natura/legislativa/uev/ciele/SKUEV4013.docx","Spracované")</f>
        <v>Spracované</v>
      </c>
      <c r="G596" s="22"/>
      <c r="H596" s="27" t="s">
        <v>20</v>
      </c>
      <c r="I596" s="22" t="s">
        <v>64</v>
      </c>
      <c r="J596" s="9" t="s">
        <v>444</v>
      </c>
      <c r="K596" s="40">
        <v>0</v>
      </c>
    </row>
    <row r="597" spans="1:11" x14ac:dyDescent="0.25">
      <c r="A597" s="26" t="s">
        <v>1284</v>
      </c>
      <c r="B597" s="36" t="s">
        <v>1339</v>
      </c>
      <c r="C597" s="7" t="str">
        <f>HYPERLINK("https://data.sopsr.sk/chranene-objekty/chranene-uzemia/detail/SKUEV4014","Kykula pri kríži")</f>
        <v>Kykula pri kríži</v>
      </c>
      <c r="D597" s="33">
        <v>20.9146</v>
      </c>
      <c r="E597" s="44" t="str">
        <f>HYPERLINK("https://natura2000.sopsr.sk/lokality/uev/lokality-uev/?uev=SKUEV4014","Odkaz")</f>
        <v>Odkaz</v>
      </c>
      <c r="F597" s="44" t="str">
        <f>HYPERLINK("https://natura2000.sopsr.sk/wp-content/uploads/natura/legislativa/uev/ciele/SKUEV4014.docx","Spracované")</f>
        <v>Spracované</v>
      </c>
      <c r="G597" s="22"/>
      <c r="H597" s="27" t="s">
        <v>11</v>
      </c>
      <c r="I597" s="22" t="s">
        <v>222</v>
      </c>
      <c r="J597" s="9" t="s">
        <v>319</v>
      </c>
      <c r="K597" s="40">
        <v>100</v>
      </c>
    </row>
    <row r="598" spans="1:11" x14ac:dyDescent="0.25">
      <c r="A598" s="26" t="s">
        <v>1285</v>
      </c>
      <c r="B598" s="36" t="s">
        <v>1340</v>
      </c>
      <c r="C598" s="7" t="str">
        <f>HYPERLINK("https://data.sopsr.sk/chranene-objekty/chranene-uzemia/detail/SKUEV4016","Bielokarpatské predhorie")</f>
        <v>Bielokarpatské predhorie</v>
      </c>
      <c r="D598" s="33">
        <v>312.7312</v>
      </c>
      <c r="E598" s="44" t="str">
        <f>HYPERLINK("https://natura2000.sopsr.sk/lokality/uev/lokality-uev/?uev=SKUEV4016","Odkaz")</f>
        <v>Odkaz</v>
      </c>
      <c r="F598" s="44" t="str">
        <f>HYPERLINK("https://natura2000.sopsr.sk/wp-content/uploads/natura/legislativa/uev/ciele/SKUEV4016.docx","Spracované")</f>
        <v>Spracované</v>
      </c>
      <c r="G598" s="22"/>
      <c r="H598" s="27" t="s">
        <v>11</v>
      </c>
      <c r="I598" s="22" t="s">
        <v>222</v>
      </c>
      <c r="J598" s="9" t="s">
        <v>319</v>
      </c>
      <c r="K598" s="41">
        <v>17.829999999999998</v>
      </c>
    </row>
    <row r="599" spans="1:11" x14ac:dyDescent="0.25">
      <c r="A599" s="26" t="s">
        <v>1286</v>
      </c>
      <c r="B599" s="36" t="s">
        <v>1361</v>
      </c>
      <c r="C599" s="7" t="str">
        <f>HYPERLINK("https://data.sopsr.sk/chranene-objekty/chranene-uzemia/detail/SKUEV4019","Soblahovská dúbravka")</f>
        <v>Soblahovská dúbravka</v>
      </c>
      <c r="D599" s="33">
        <v>0.78620000000000001</v>
      </c>
      <c r="E599" s="44" t="str">
        <f>HYPERLINK("https://natura2000.sopsr.sk/lokality/uev/lokality-uev/?uev=SKUEV4019","Odkaz")</f>
        <v>Odkaz</v>
      </c>
      <c r="F599" s="44" t="str">
        <f>HYPERLINK("https://natura2000.sopsr.sk/wp-content/uploads/natura/legislativa/uev/ciele/SKUEV4019.docx","Spracované")</f>
        <v>Spracované</v>
      </c>
      <c r="G599" s="22"/>
      <c r="H599" s="27" t="s">
        <v>11</v>
      </c>
      <c r="I599" s="22" t="s">
        <v>222</v>
      </c>
      <c r="J599" s="9" t="s">
        <v>319</v>
      </c>
      <c r="K599" s="40">
        <v>0</v>
      </c>
    </row>
    <row r="600" spans="1:11" x14ac:dyDescent="0.25">
      <c r="A600" s="26" t="s">
        <v>1287</v>
      </c>
      <c r="B600" s="36" t="s">
        <v>1362</v>
      </c>
      <c r="C600" s="7" t="str">
        <f>HYPERLINK("https://data.sopsr.sk/chranene-objekty/chranene-uzemia/detail/SKUEV4021","Nový vrch")</f>
        <v>Nový vrch</v>
      </c>
      <c r="D600" s="33">
        <v>104.83320000000001</v>
      </c>
      <c r="E600" s="44" t="str">
        <f>HYPERLINK("https://natura2000.sopsr.sk/lokality/uev/lokality-uev/?uev=SKUEV4021","Odkaz")</f>
        <v>Odkaz</v>
      </c>
      <c r="F600" s="44" t="str">
        <f>HYPERLINK("https://natura2000.sopsr.sk/wp-content/uploads/natura/legislativa/uev/ciele/SKUEV4021.docx","Spracované")</f>
        <v>Spracované</v>
      </c>
      <c r="G600" s="22"/>
      <c r="H600" s="27" t="s">
        <v>20</v>
      </c>
      <c r="I600" s="21" t="s">
        <v>61</v>
      </c>
      <c r="J600" s="9" t="s">
        <v>999</v>
      </c>
      <c r="K600" s="40">
        <v>0</v>
      </c>
    </row>
    <row r="601" spans="1:11" x14ac:dyDescent="0.25">
      <c r="A601" s="26" t="s">
        <v>1288</v>
      </c>
      <c r="B601" s="36" t="s">
        <v>1363</v>
      </c>
      <c r="C601" s="7" t="str">
        <f>HYPERLINK("https://data.sopsr.sk/chranene-objekty/chranene-uzemia/detail/SKUEV4023","Slanisko pri Dive")</f>
        <v>Slanisko pri Dive</v>
      </c>
      <c r="D601" s="33">
        <v>9.4475999999999996</v>
      </c>
      <c r="E601" s="44" t="str">
        <f>HYPERLINK("https://natura2000.sopsr.sk/lokality/uev/lokality-uev/?uev=SKUEV4023","Odkaz")</f>
        <v>Odkaz</v>
      </c>
      <c r="F601" s="44" t="str">
        <f>HYPERLINK("https://natura2000.sopsr.sk/wp-content/uploads/natura/legislativa/uev/ciele/SKUEV4023.docx","Spracované")</f>
        <v>Spracované</v>
      </c>
      <c r="G601" s="22"/>
      <c r="H601" s="27" t="s">
        <v>20</v>
      </c>
      <c r="I601" s="22" t="s">
        <v>58</v>
      </c>
      <c r="J601" s="9" t="s">
        <v>40</v>
      </c>
      <c r="K601" s="40">
        <v>0</v>
      </c>
    </row>
    <row r="602" spans="1:11" x14ac:dyDescent="0.25">
      <c r="A602" s="26" t="s">
        <v>1289</v>
      </c>
      <c r="B602" s="36" t="s">
        <v>1364</v>
      </c>
      <c r="C602" s="7" t="str">
        <f>HYPERLINK("https://data.sopsr.sk/chranene-objekty/chranene-uzemia/detail/SKUEV4027","Slatina")</f>
        <v>Slatina</v>
      </c>
      <c r="D602" s="33">
        <v>21.409500000000001</v>
      </c>
      <c r="E602" s="44" t="str">
        <f>HYPERLINK("https://natura2000.sopsr.sk/lokality/uev/lokality-uev/?uev=SKUEV4027","Odkaz")</f>
        <v>Odkaz</v>
      </c>
      <c r="F602" s="44" t="str">
        <f>HYPERLINK("https://natura2000.sopsr.sk/wp-content/uploads/natura/legislativa/uev/ciele/SKUEV4027.docx","Spracované")</f>
        <v>Spracované</v>
      </c>
      <c r="G602" s="22"/>
      <c r="H602" s="27" t="s">
        <v>11</v>
      </c>
      <c r="I602" s="21" t="s">
        <v>61</v>
      </c>
      <c r="J602" s="9" t="s">
        <v>34</v>
      </c>
      <c r="K602" s="40">
        <v>0</v>
      </c>
    </row>
    <row r="603" spans="1:11" x14ac:dyDescent="0.25">
      <c r="A603" s="26" t="s">
        <v>1290</v>
      </c>
      <c r="B603" s="36" t="s">
        <v>1341</v>
      </c>
      <c r="C603" s="7" t="str">
        <f>HYPERLINK("https://data.sopsr.sk/chranene-objekty/chranene-uzemia/detail/SKUEV4028","Brezová")</f>
        <v>Brezová</v>
      </c>
      <c r="D603" s="33">
        <v>30.5184</v>
      </c>
      <c r="E603" s="44" t="str">
        <f>HYPERLINK("https://natura2000.sopsr.sk/lokality/uev/lokality-uev/?uev=SKUEV4028","Odkaz")</f>
        <v>Odkaz</v>
      </c>
      <c r="F603" s="44" t="str">
        <f>HYPERLINK("https://natura2000.sopsr.sk/wp-content/uploads/natura/legislativa/uev/ciele/SKUEV4028.docx","Spracované")</f>
        <v>Spracované</v>
      </c>
      <c r="G603" s="22"/>
      <c r="H603" s="27" t="s">
        <v>11</v>
      </c>
      <c r="I603" s="22" t="s">
        <v>222</v>
      </c>
      <c r="J603" s="9" t="s">
        <v>47</v>
      </c>
      <c r="K603" s="40">
        <v>100</v>
      </c>
    </row>
    <row r="604" spans="1:11" x14ac:dyDescent="0.25">
      <c r="A604" s="26" t="s">
        <v>1291</v>
      </c>
      <c r="B604" s="36" t="s">
        <v>1365</v>
      </c>
      <c r="C604" s="7" t="str">
        <f>HYPERLINK("https://data.sopsr.sk/chranene-objekty/chranene-uzemia/detail/SKUEV4029","Čifárske lúky")</f>
        <v>Čifárske lúky</v>
      </c>
      <c r="D604" s="33">
        <v>22.675699999999999</v>
      </c>
      <c r="E604" s="44" t="str">
        <f>HYPERLINK("https://natura2000.sopsr.sk/lokality/uev/lokality-uev/?uev=SKUEV4029","Odkaz")</f>
        <v>Odkaz</v>
      </c>
      <c r="F604" s="44" t="str">
        <f>HYPERLINK("https://natura2000.sopsr.sk/wp-content/uploads/natura/legislativa/uev/ciele/SKUEV4029.docx","Spracované")</f>
        <v>Spracované</v>
      </c>
      <c r="G604" s="22"/>
      <c r="H604" s="27" t="s">
        <v>20</v>
      </c>
      <c r="I604" s="22" t="s">
        <v>58</v>
      </c>
      <c r="J604" s="9" t="s">
        <v>47</v>
      </c>
      <c r="K604" s="40">
        <v>0</v>
      </c>
    </row>
    <row r="605" spans="1:11" x14ac:dyDescent="0.25">
      <c r="A605" s="26" t="s">
        <v>1292</v>
      </c>
      <c r="B605" s="36" t="s">
        <v>1366</v>
      </c>
      <c r="C605" s="7" t="str">
        <f>HYPERLINK("https://data.sopsr.sk/chranene-objekty/chranene-uzemia/detail/SKUEV4031","Handlovské lúky")</f>
        <v>Handlovské lúky</v>
      </c>
      <c r="D605" s="33">
        <v>333.71409999999997</v>
      </c>
      <c r="E605" s="44" t="str">
        <f>HYPERLINK("https://natura2000.sopsr.sk/lokality/uev/lokality-uev/?uev=SKUEV4031","Odkaz")</f>
        <v>Odkaz</v>
      </c>
      <c r="F605" s="44" t="str">
        <f>HYPERLINK("https://natura2000.sopsr.sk/wp-content/uploads/natura/legislativa/uev/ciele/SKUEV4031.docx","Spracované")</f>
        <v>Spracované</v>
      </c>
      <c r="G605" s="22"/>
      <c r="H605" s="27" t="s">
        <v>11</v>
      </c>
      <c r="I605" s="22" t="s">
        <v>222</v>
      </c>
      <c r="J605" s="9" t="s">
        <v>47</v>
      </c>
      <c r="K605" s="40">
        <v>0</v>
      </c>
    </row>
    <row r="606" spans="1:11" x14ac:dyDescent="0.25">
      <c r="A606" s="26" t="s">
        <v>1293</v>
      </c>
      <c r="B606" s="36" t="s">
        <v>1342</v>
      </c>
      <c r="C606" s="7" t="str">
        <f>HYPERLINK("https://data.sopsr.sk/chranene-objekty/chranene-uzemia/detail/SKUEV4032","Lúky pod Čičermanom")</f>
        <v>Lúky pod Čičermanom</v>
      </c>
      <c r="D606" s="33">
        <v>229.6918</v>
      </c>
      <c r="E606" s="44" t="str">
        <f>HYPERLINK("https://natura2000.sopsr.sk/lokality/uev/lokality-uev/?uev=SKUEV4032","Odkaz")</f>
        <v>Odkaz</v>
      </c>
      <c r="F606" s="44" t="str">
        <f>HYPERLINK("https://natura2000.sopsr.sk/wp-content/uploads/natura/legislativa/uev/ciele/SKUEV4032.docx","Spracované")</f>
        <v>Spracované</v>
      </c>
      <c r="G606" s="22"/>
      <c r="H606" s="27" t="s">
        <v>11</v>
      </c>
      <c r="I606" s="22" t="s">
        <v>222</v>
      </c>
      <c r="J606" s="9" t="s">
        <v>47</v>
      </c>
      <c r="K606" s="41">
        <v>3.13</v>
      </c>
    </row>
    <row r="607" spans="1:11" x14ac:dyDescent="0.25">
      <c r="A607" s="26" t="s">
        <v>1294</v>
      </c>
      <c r="B607" s="36" t="s">
        <v>1367</v>
      </c>
      <c r="C607" s="7" t="str">
        <f>HYPERLINK("https://data.sopsr.sk/chranene-objekty/chranene-uzemia/detail/SKUEV4033","Jesenské lúky")</f>
        <v>Jesenské lúky</v>
      </c>
      <c r="D607" s="33">
        <v>6.0145999999999997</v>
      </c>
      <c r="E607" s="44" t="str">
        <f>HYPERLINK("https://natura2000.sopsr.sk/lokality/uev/lokality-uev/?uev=SKUEV4033","Odkaz")</f>
        <v>Odkaz</v>
      </c>
      <c r="F607" s="44" t="str">
        <f>HYPERLINK("https://natura2000.sopsr.sk/wp-content/uploads/natura/legislativa/uev/ciele/SKUEV4033.docx","Spracované")</f>
        <v>Spracované</v>
      </c>
      <c r="G607" s="22"/>
      <c r="H607" s="27" t="s">
        <v>20</v>
      </c>
      <c r="I607" s="22" t="s">
        <v>58</v>
      </c>
      <c r="J607" s="9" t="s">
        <v>47</v>
      </c>
      <c r="K607" s="40">
        <v>0</v>
      </c>
    </row>
    <row r="608" spans="1:11" x14ac:dyDescent="0.25">
      <c r="A608" s="26" t="s">
        <v>1295</v>
      </c>
      <c r="B608" s="36" t="s">
        <v>1368</v>
      </c>
      <c r="C608" s="7" t="str">
        <f>HYPERLINK("https://data.sopsr.sk/chranene-objekty/chranene-uzemia/detail/SKUEV4034","Koneradské lúky")</f>
        <v>Koneradské lúky</v>
      </c>
      <c r="D608" s="33">
        <v>53.938600000000001</v>
      </c>
      <c r="E608" s="44" t="str">
        <f>HYPERLINK("https://natura2000.sopsr.sk/lokality/uev/lokality-uev/?uev=SKUEV4034","Odkaz")</f>
        <v>Odkaz</v>
      </c>
      <c r="F608" s="44" t="str">
        <f>HYPERLINK("https://natura2000.sopsr.sk/wp-content/uploads/natura/legislativa/uev/ciele/SKUEV4034.docx","Spracované")</f>
        <v>Spracované</v>
      </c>
      <c r="G608" s="22"/>
      <c r="H608" s="27" t="s">
        <v>20</v>
      </c>
      <c r="I608" s="22" t="s">
        <v>58</v>
      </c>
      <c r="J608" s="9" t="s">
        <v>47</v>
      </c>
      <c r="K608" s="40">
        <v>0</v>
      </c>
    </row>
    <row r="609" spans="1:11" x14ac:dyDescent="0.25">
      <c r="A609" s="26" t="s">
        <v>1296</v>
      </c>
      <c r="B609" s="36" t="s">
        <v>1369</v>
      </c>
      <c r="C609" s="7" t="str">
        <f>HYPERLINK("https://data.sopsr.sk/chranene-objekty/chranene-uzemia/detail/SKUEV4035","Ladické lúky")</f>
        <v>Ladické lúky</v>
      </c>
      <c r="D609" s="33">
        <v>1.8274999999999999</v>
      </c>
      <c r="E609" s="44" t="str">
        <f>HYPERLINK("https://natura2000.sopsr.sk/lokality/uev/lokality-uev/?uev=SKUEV4035","Odkaz")</f>
        <v>Odkaz</v>
      </c>
      <c r="F609" s="44" t="str">
        <f>HYPERLINK("https://natura2000.sopsr.sk/wp-content/uploads/natura/legislativa/uev/ciele/SKUEV4035.docx","Spracované")</f>
        <v>Spracované</v>
      </c>
      <c r="G609" s="22"/>
      <c r="H609" s="9" t="s">
        <v>91</v>
      </c>
      <c r="I609" s="22" t="s">
        <v>58</v>
      </c>
      <c r="J609" s="9" t="s">
        <v>47</v>
      </c>
      <c r="K609" s="40">
        <v>0</v>
      </c>
    </row>
    <row r="610" spans="1:11" x14ac:dyDescent="0.25">
      <c r="A610" s="26" t="s">
        <v>1297</v>
      </c>
      <c r="B610" s="36" t="s">
        <v>1343</v>
      </c>
      <c r="C610" s="7" t="str">
        <f>HYPERLINK("https://data.sopsr.sk/chranene-objekty/chranene-uzemia/detail/SKUEV4036","Radobické lúky")</f>
        <v>Radobické lúky</v>
      </c>
      <c r="D610" s="33">
        <v>36.657400000000003</v>
      </c>
      <c r="E610" s="44" t="str">
        <f>HYPERLINK("https://natura2000.sopsr.sk/lokality/uev/lokality-uev/?uev=SKUEV4036","Odkaz")</f>
        <v>Odkaz</v>
      </c>
      <c r="F610" s="44" t="str">
        <f>HYPERLINK("https://natura2000.sopsr.sk/wp-content/uploads/natura/legislativa/uev/ciele/SKUEV4036.docx","Spracované")</f>
        <v>Spracované</v>
      </c>
      <c r="G610" s="22"/>
      <c r="H610" s="27" t="s">
        <v>11</v>
      </c>
      <c r="I610" s="22" t="s">
        <v>222</v>
      </c>
      <c r="J610" s="9" t="s">
        <v>47</v>
      </c>
      <c r="K610" s="41">
        <v>32.950000000000003</v>
      </c>
    </row>
    <row r="611" spans="1:11" x14ac:dyDescent="0.25">
      <c r="A611" s="26" t="s">
        <v>1298</v>
      </c>
      <c r="B611" s="36" t="s">
        <v>1344</v>
      </c>
      <c r="C611" s="7" t="str">
        <f>HYPERLINK("https://data.sopsr.sk/chranene-objekty/chranene-uzemia/detail/SKUEV4038","Ovsenište")</f>
        <v>Ovsenište</v>
      </c>
      <c r="D611" s="33">
        <v>14.444100000000001</v>
      </c>
      <c r="E611" s="44" t="str">
        <f>HYPERLINK("https://natura2000.sopsr.sk/lokality/uev/lokality-uev/?uev=SKUEV4038","Odkaz")</f>
        <v>Odkaz</v>
      </c>
      <c r="F611" s="44" t="str">
        <f>HYPERLINK("https://natura2000.sopsr.sk/wp-content/uploads/natura/legislativa/uev/ciele/SKUEV4038.docx","Spracované")</f>
        <v>Spracované</v>
      </c>
      <c r="G611" s="22"/>
      <c r="H611" s="27" t="s">
        <v>11</v>
      </c>
      <c r="I611" s="22" t="s">
        <v>222</v>
      </c>
      <c r="J611" s="9" t="s">
        <v>47</v>
      </c>
      <c r="K611" s="40">
        <v>100</v>
      </c>
    </row>
    <row r="612" spans="1:11" x14ac:dyDescent="0.25">
      <c r="A612" s="26" t="s">
        <v>1299</v>
      </c>
      <c r="B612" s="36" t="s">
        <v>1370</v>
      </c>
      <c r="C612" s="7" t="str">
        <f>HYPERLINK("https://data.sopsr.sk/chranene-objekty/chranene-uzemia/detail/SKUEV4041","Chválov")</f>
        <v>Chválov</v>
      </c>
      <c r="D612" s="33">
        <v>172.53630000000001</v>
      </c>
      <c r="E612" s="44" t="str">
        <f>HYPERLINK("https://natura2000.sopsr.sk/lokality/uev/lokality-uev/?uev=SKUEV4041","Odkaz")</f>
        <v>Odkaz</v>
      </c>
      <c r="F612" s="44" t="str">
        <f>HYPERLINK("https://natura2000.sopsr.sk/wp-content/uploads/natura/legislativa/uev/ciele/SKUEV4041.docx","Spracované")</f>
        <v>Spracované</v>
      </c>
      <c r="G612" s="22"/>
      <c r="H612" s="27" t="s">
        <v>11</v>
      </c>
      <c r="I612" s="22" t="s">
        <v>222</v>
      </c>
      <c r="J612" s="9" t="s">
        <v>47</v>
      </c>
      <c r="K612" s="40">
        <v>0</v>
      </c>
    </row>
    <row r="613" spans="1:11" x14ac:dyDescent="0.25">
      <c r="A613" s="26" t="s">
        <v>1300</v>
      </c>
      <c r="B613" s="36" t="s">
        <v>1371</v>
      </c>
      <c r="C613" s="7" t="str">
        <f>HYPERLINK("https://data.sopsr.sk/chranene-objekty/chranene-uzemia/detail/SKUEV4048","Beňatinské a inovecké lúky")</f>
        <v>Beňatinské a inovecké lúky</v>
      </c>
      <c r="D613" s="33">
        <v>74.647400000000005</v>
      </c>
      <c r="E613" s="44" t="str">
        <f>HYPERLINK("https://natura2000.sopsr.sk/lokality/uev/lokality-uev/?uev=SKUEV4048","Odkaz")</f>
        <v>Odkaz</v>
      </c>
      <c r="F613" s="44" t="str">
        <f>HYPERLINK("https://natura2000.sopsr.sk/wp-content/uploads/natura/legislativa/uev/ciele/SKUEV4048.docx","Spracované")</f>
        <v>Spracované</v>
      </c>
      <c r="G613" s="22"/>
      <c r="H613" s="27" t="s">
        <v>11</v>
      </c>
      <c r="I613" s="22" t="s">
        <v>64</v>
      </c>
      <c r="J613" s="9" t="s">
        <v>444</v>
      </c>
      <c r="K613" s="40">
        <v>0</v>
      </c>
    </row>
    <row r="614" spans="1:11" x14ac:dyDescent="0.25">
      <c r="A614" s="26" t="s">
        <v>1301</v>
      </c>
      <c r="B614" s="36" t="s">
        <v>1372</v>
      </c>
      <c r="C614" s="7" t="str">
        <f>HYPERLINK("https://data.sopsr.sk/chranene-objekty/chranene-uzemia/detail/SKUEV4051","Pod Záhumienkami")</f>
        <v>Pod Záhumienkami</v>
      </c>
      <c r="D614" s="33">
        <v>34.936999999999998</v>
      </c>
      <c r="E614" s="44" t="str">
        <f>HYPERLINK("https://natura2000.sopsr.sk/lokality/uev/lokality-uev/?uev=SKUEV4051","Odkaz")</f>
        <v>Odkaz</v>
      </c>
      <c r="F614" s="44" t="str">
        <f>HYPERLINK("https://natura2000.sopsr.sk/wp-content/uploads/natura/legislativa/uev/ciele/SKUEV4051.docx","Spracované")</f>
        <v>Spracované</v>
      </c>
      <c r="G614" s="22"/>
      <c r="H614" s="27" t="s">
        <v>11</v>
      </c>
      <c r="I614" s="22" t="s">
        <v>64</v>
      </c>
      <c r="J614" s="9" t="s">
        <v>444</v>
      </c>
      <c r="K614" s="40">
        <v>0</v>
      </c>
    </row>
    <row r="615" spans="1:11" x14ac:dyDescent="0.25">
      <c r="A615" s="26" t="s">
        <v>1302</v>
      </c>
      <c r="B615" s="36" t="s">
        <v>1373</v>
      </c>
      <c r="C615" s="7" t="str">
        <f>HYPERLINK("https://data.sopsr.sk/chranene-objekty/chranene-uzemia/detail/SKUEV4052","Čiastky")</f>
        <v>Čiastky</v>
      </c>
      <c r="D615" s="33">
        <v>90.037700000000001</v>
      </c>
      <c r="E615" s="44" t="str">
        <f>HYPERLINK("https://natura2000.sopsr.sk/lokality/uev/lokality-uev/?uev=SKUEV4052","Odkaz")</f>
        <v>Odkaz</v>
      </c>
      <c r="F615" s="44" t="str">
        <f>HYPERLINK("https://natura2000.sopsr.sk/wp-content/uploads/natura/legislativa/uev/ciele/SKUEV4052.docx","Spracované")</f>
        <v>Spracované</v>
      </c>
      <c r="G615" s="22"/>
      <c r="H615" s="27" t="s">
        <v>11</v>
      </c>
      <c r="I615" s="22" t="s">
        <v>26</v>
      </c>
      <c r="J615" s="9" t="s">
        <v>27</v>
      </c>
      <c r="K615" s="40">
        <v>0</v>
      </c>
    </row>
    <row r="616" spans="1:11" x14ac:dyDescent="0.25">
      <c r="A616" s="26" t="s">
        <v>1303</v>
      </c>
      <c r="B616" s="36" t="s">
        <v>1374</v>
      </c>
      <c r="C616" s="7" t="str">
        <f>HYPERLINK("https://data.sopsr.sk/chranene-objekty/chranene-uzemia/detail/SKUEV4053","Kolibiská")</f>
        <v>Kolibiská</v>
      </c>
      <c r="D616" s="33">
        <v>17.2</v>
      </c>
      <c r="E616" s="44" t="str">
        <f>HYPERLINK("https://natura2000.sopsr.sk/lokality/uev/lokality-uev/?uev=SKUEV4053","Odkaz")</f>
        <v>Odkaz</v>
      </c>
      <c r="F616" s="44" t="str">
        <f>HYPERLINK("https://natura2000.sopsr.sk/wp-content/uploads/natura/legislativa/uev/ciele/SKUEV4053.docx","Spracované")</f>
        <v>Spracované</v>
      </c>
      <c r="G616" s="22"/>
      <c r="H616" s="27" t="s">
        <v>11</v>
      </c>
      <c r="I616" s="22" t="s">
        <v>26</v>
      </c>
      <c r="J616" s="9" t="s">
        <v>27</v>
      </c>
      <c r="K616" s="40">
        <v>0</v>
      </c>
    </row>
    <row r="617" spans="1:11" x14ac:dyDescent="0.25">
      <c r="A617" s="26" t="s">
        <v>1304</v>
      </c>
      <c r="B617" s="36" t="s">
        <v>1345</v>
      </c>
      <c r="C617" s="7" t="str">
        <f>HYPERLINK("https://data.sopsr.sk/chranene-objekty/chranene-uzemia/detail/SKUEV4054","Palotské lúky")</f>
        <v>Palotské lúky</v>
      </c>
      <c r="D617" s="33">
        <v>29.572800000000001</v>
      </c>
      <c r="E617" s="44" t="str">
        <f>HYPERLINK("https://natura2000.sopsr.sk/lokality/uev/lokality-uev/?uev=SKUEV4054","Odkaz")</f>
        <v>Odkaz</v>
      </c>
      <c r="F617" s="44" t="str">
        <f>HYPERLINK("https://natura2000.sopsr.sk/wp-content/uploads/natura/legislativa/uev/ciele/SKUEV4054.docx","Spracované")</f>
        <v>Spracované</v>
      </c>
      <c r="G617" s="22"/>
      <c r="H617" s="27" t="s">
        <v>11</v>
      </c>
      <c r="I617" s="22" t="s">
        <v>26</v>
      </c>
      <c r="J617" s="9" t="s">
        <v>27</v>
      </c>
      <c r="K617" s="40">
        <v>100</v>
      </c>
    </row>
    <row r="618" spans="1:11" x14ac:dyDescent="0.25">
      <c r="A618" s="26" t="s">
        <v>1305</v>
      </c>
      <c r="B618" s="36" t="s">
        <v>1346</v>
      </c>
      <c r="C618" s="7" t="str">
        <f>HYPERLINK("https://data.sopsr.sk/chranene-objekty/chranene-uzemia/detail/SKUEV4056","Vápenické lúky")</f>
        <v>Vápenické lúky</v>
      </c>
      <c r="D618" s="33">
        <v>79.292400000000001</v>
      </c>
      <c r="E618" s="44" t="str">
        <f>HYPERLINK("https://natura2000.sopsr.sk/lokality/uev/lokality-uev/?uev=SKUEV4056","Odkaz")</f>
        <v>Odkaz</v>
      </c>
      <c r="F618" s="44" t="str">
        <f>HYPERLINK("https://natura2000.sopsr.sk/wp-content/uploads/natura/legislativa/uev/ciele/SKUEV4056.docx","Spracované")</f>
        <v>Spracované</v>
      </c>
      <c r="G618" s="22"/>
      <c r="H618" s="27" t="s">
        <v>11</v>
      </c>
      <c r="I618" s="22" t="s">
        <v>26</v>
      </c>
      <c r="J618" s="9" t="s">
        <v>27</v>
      </c>
      <c r="K618" s="41">
        <v>9.74</v>
      </c>
    </row>
    <row r="619" spans="1:11" x14ac:dyDescent="0.25">
      <c r="A619" s="26" t="s">
        <v>1306</v>
      </c>
      <c r="B619" s="36" t="s">
        <v>1375</v>
      </c>
      <c r="C619" s="7" t="str">
        <f>HYPERLINK("https://data.sopsr.sk/chranene-objekty/chranene-uzemia/detail/SKUEV4062","Kašajka")</f>
        <v>Kašajka</v>
      </c>
      <c r="D619" s="33">
        <v>8.6675000000000004</v>
      </c>
      <c r="E619" s="44" t="str">
        <f>HYPERLINK("https://natura2000.sopsr.sk/lokality/uev/lokality-uev/?uev=SKUEV4062","Odkaz")</f>
        <v>Odkaz</v>
      </c>
      <c r="F619" s="44" t="str">
        <f>HYPERLINK("https://natura2000.sopsr.sk/wp-content/uploads/natura/legislativa/uev/ciele/SKUEV4062.docx","Spracované")</f>
        <v>Spracované</v>
      </c>
      <c r="G619" s="14" t="s">
        <v>23</v>
      </c>
      <c r="H619" s="27" t="s">
        <v>11</v>
      </c>
      <c r="I619" s="21" t="s">
        <v>61</v>
      </c>
      <c r="J619" s="9" t="s">
        <v>13</v>
      </c>
      <c r="K619" s="40">
        <v>0</v>
      </c>
    </row>
    <row r="620" spans="1:11" x14ac:dyDescent="0.25">
      <c r="A620" s="26" t="s">
        <v>1307</v>
      </c>
      <c r="B620" s="36" t="s">
        <v>1376</v>
      </c>
      <c r="C620" s="7" t="str">
        <f>HYPERLINK("https://data.sopsr.sk/chranene-objekty/chranene-uzemia/detail/SKUEV4065","Lúka pod Lazom")</f>
        <v>Lúka pod Lazom</v>
      </c>
      <c r="D620" s="33">
        <v>7.2446000000000002</v>
      </c>
      <c r="E620" s="44" t="str">
        <f>HYPERLINK("https://natura2000.sopsr.sk/lokality/uev/lokality-uev/?uev=SKUEV4065","Odkaz")</f>
        <v>Odkaz</v>
      </c>
      <c r="F620" s="44" t="str">
        <f>HYPERLINK("https://natura2000.sopsr.sk/wp-content/uploads/natura/legislativa/uev/ciele/SKUEV4065.docx","Spracované")</f>
        <v>Spracované</v>
      </c>
      <c r="G620" s="14" t="s">
        <v>23</v>
      </c>
      <c r="H620" s="27" t="s">
        <v>11</v>
      </c>
      <c r="I620" s="21" t="s">
        <v>61</v>
      </c>
      <c r="J620" s="9" t="s">
        <v>13</v>
      </c>
      <c r="K620" s="40">
        <v>0</v>
      </c>
    </row>
    <row r="621" spans="1:11" x14ac:dyDescent="0.25">
      <c r="A621" s="26" t="s">
        <v>1308</v>
      </c>
      <c r="B621" s="36" t="s">
        <v>1377</v>
      </c>
      <c r="C621" s="7" t="str">
        <f>HYPERLINK("https://data.sopsr.sk/chranene-objekty/chranene-uzemia/detail/SKUEV4067","Tvrdošovo")</f>
        <v>Tvrdošovo</v>
      </c>
      <c r="D621" s="33">
        <v>6.0251999999999999</v>
      </c>
      <c r="E621" s="44" t="str">
        <f>HYPERLINK("https://natura2000.sopsr.sk/lokality/uev/lokality-uev/?uev=SKUEV4067","Odkaz")</f>
        <v>Odkaz</v>
      </c>
      <c r="F621" s="44" t="str">
        <f>HYPERLINK("https://natura2000.sopsr.sk/wp-content/uploads/natura/legislativa/uev/ciele/SKUEV4067.docx","Spracované")</f>
        <v>Spracované</v>
      </c>
      <c r="G621" s="22"/>
      <c r="H621" s="27" t="s">
        <v>11</v>
      </c>
      <c r="I621" s="21" t="s">
        <v>61</v>
      </c>
      <c r="J621" s="9" t="s">
        <v>13</v>
      </c>
      <c r="K621" s="40">
        <v>0</v>
      </c>
    </row>
    <row r="622" spans="1:11" x14ac:dyDescent="0.25">
      <c r="A622" s="26" t="s">
        <v>1309</v>
      </c>
      <c r="B622" s="36" t="s">
        <v>1378</v>
      </c>
      <c r="C622" s="7" t="str">
        <f>HYPERLINK("https://data.sopsr.sk/chranene-objekty/chranene-uzemia/detail/SKUEV4068","Pasienky na Dubovej samote")</f>
        <v>Pasienky na Dubovej samote</v>
      </c>
      <c r="D622" s="33">
        <v>59.569099999999999</v>
      </c>
      <c r="E622" s="44" t="str">
        <f>HYPERLINK("https://natura2000.sopsr.sk/lokality/uev/lokality-uev/?uev=SKUEV4068","Odkaz")</f>
        <v>Odkaz</v>
      </c>
      <c r="F622" s="44" t="str">
        <f>HYPERLINK("https://natura2000.sopsr.sk/wp-content/uploads/natura/legislativa/uev/ciele/SKUEV4068.docx","Spracované")</f>
        <v>Spracované</v>
      </c>
      <c r="G622" s="22"/>
      <c r="H622" s="27" t="s">
        <v>20</v>
      </c>
      <c r="I622" s="21" t="s">
        <v>61</v>
      </c>
      <c r="J622" s="9" t="s">
        <v>13</v>
      </c>
      <c r="K622" s="40">
        <v>0</v>
      </c>
    </row>
    <row r="623" spans="1:11" x14ac:dyDescent="0.25">
      <c r="A623" s="26" t="s">
        <v>1310</v>
      </c>
      <c r="B623" s="36" t="s">
        <v>1379</v>
      </c>
      <c r="C623" s="7" t="str">
        <f>HYPERLINK("https://data.sopsr.sk/chranene-objekty/chranene-uzemia/detail/SKUEV4069","Lúky pod Gindurou")</f>
        <v>Lúky pod Gindurou</v>
      </c>
      <c r="D623" s="33">
        <v>57.142699999999998</v>
      </c>
      <c r="E623" s="44" t="str">
        <f>HYPERLINK("https://natura2000.sopsr.sk/lokality/uev/lokality-uev/?uev=SKUEV4069","Odkaz")</f>
        <v>Odkaz</v>
      </c>
      <c r="F623" s="44" t="str">
        <f>HYPERLINK("https://natura2000.sopsr.sk/wp-content/uploads/natura/legislativa/uev/ciele/SKUEV4069.docx","Spracované")</f>
        <v>Spracované</v>
      </c>
      <c r="G623" s="14" t="s">
        <v>23</v>
      </c>
      <c r="H623" s="27" t="s">
        <v>11</v>
      </c>
      <c r="I623" s="21" t="s">
        <v>61</v>
      </c>
      <c r="J623" s="9" t="s">
        <v>13</v>
      </c>
      <c r="K623" s="40">
        <v>0</v>
      </c>
    </row>
    <row r="624" spans="1:11" x14ac:dyDescent="0.25">
      <c r="A624" s="26" t="s">
        <v>1311</v>
      </c>
      <c r="B624" s="36" t="s">
        <v>1380</v>
      </c>
      <c r="C624" s="7" t="str">
        <f>HYPERLINK("https://data.sopsr.sk/chranene-objekty/chranene-uzemia/detail/SKUEV4070","Lúky na Holej hore")</f>
        <v>Lúky na Holej hore</v>
      </c>
      <c r="D624" s="33">
        <v>32.134300000000003</v>
      </c>
      <c r="E624" s="44" t="str">
        <f>HYPERLINK("https://natura2000.sopsr.sk/lokality/uev/lokality-uev/?uev=SKUEV4070","Odkaz")</f>
        <v>Odkaz</v>
      </c>
      <c r="F624" s="44" t="str">
        <f>HYPERLINK("https://natura2000.sopsr.sk/wp-content/uploads/natura/legislativa/uev/ciele/SKUEV4070.docx","Spracované")</f>
        <v>Spracované</v>
      </c>
      <c r="G624" s="14" t="s">
        <v>23</v>
      </c>
      <c r="H624" s="27" t="s">
        <v>11</v>
      </c>
      <c r="I624" s="21" t="s">
        <v>61</v>
      </c>
      <c r="J624" s="9" t="s">
        <v>13</v>
      </c>
      <c r="K624" s="40">
        <v>0</v>
      </c>
    </row>
    <row r="625" spans="1:11" x14ac:dyDescent="0.25">
      <c r="A625" s="26" t="s">
        <v>1312</v>
      </c>
      <c r="B625" s="36" t="s">
        <v>1381</v>
      </c>
      <c r="C625" s="7" t="str">
        <f>HYPERLINK("https://data.sopsr.sk/chranene-objekty/chranene-uzemia/detail/SKUEV4072","Lúky pod Čierťažou")</f>
        <v>Lúky pod Čierťažou</v>
      </c>
      <c r="D625" s="33">
        <v>65.387100000000004</v>
      </c>
      <c r="E625" s="44" t="str">
        <f>HYPERLINK("https://natura2000.sopsr.sk/lokality/uev/lokality-uev/?uev=SKUEV4072","Odkaz")</f>
        <v>Odkaz</v>
      </c>
      <c r="F625" s="44" t="str">
        <f>HYPERLINK("https://natura2000.sopsr.sk/wp-content/uploads/natura/legislativa/uev/ciele/SKUEV4072.docx","Spracované")</f>
        <v>Spracované</v>
      </c>
      <c r="G625" s="14" t="s">
        <v>23</v>
      </c>
      <c r="H625" s="27" t="s">
        <v>11</v>
      </c>
      <c r="I625" s="21" t="s">
        <v>61</v>
      </c>
      <c r="J625" s="9" t="s">
        <v>13</v>
      </c>
      <c r="K625" s="40">
        <v>0</v>
      </c>
    </row>
    <row r="626" spans="1:11" x14ac:dyDescent="0.25">
      <c r="A626" s="26" t="s">
        <v>1313</v>
      </c>
      <c r="B626" s="36" t="s">
        <v>1382</v>
      </c>
      <c r="C626" s="7" t="str">
        <f>HYPERLINK("https://data.sopsr.sk/chranene-objekty/chranene-uzemia/detail/SKUEV4073","Lúky pod Dielikom")</f>
        <v>Lúky pod Dielikom</v>
      </c>
      <c r="D626" s="33">
        <v>12.297599999999999</v>
      </c>
      <c r="E626" s="44" t="str">
        <f>HYPERLINK("https://natura2000.sopsr.sk/lokality/uev/lokality-uev/?uev=SKUEV4073","Odkaz")</f>
        <v>Odkaz</v>
      </c>
      <c r="F626" s="44" t="str">
        <f>HYPERLINK("https://natura2000.sopsr.sk/wp-content/uploads/natura/legislativa/uev/ciele/SKUEV4073.docx","Spracované")</f>
        <v>Spracované</v>
      </c>
      <c r="G626" s="14" t="s">
        <v>23</v>
      </c>
      <c r="H626" s="27" t="s">
        <v>11</v>
      </c>
      <c r="I626" s="21" t="s">
        <v>61</v>
      </c>
      <c r="J626" s="9" t="s">
        <v>13</v>
      </c>
      <c r="K626" s="40">
        <v>0</v>
      </c>
    </row>
    <row r="627" spans="1:11" x14ac:dyDescent="0.25">
      <c r="A627" s="26" t="s">
        <v>1314</v>
      </c>
      <c r="B627" s="36" t="s">
        <v>1383</v>
      </c>
      <c r="C627" s="7" t="str">
        <f>HYPERLINK("https://data.sopsr.sk/chranene-objekty/chranene-uzemia/detail/SKUEV4074","Lúky pod Pribylinkou")</f>
        <v>Lúky pod Pribylinkou</v>
      </c>
      <c r="D627" s="33">
        <v>496.98430000000002</v>
      </c>
      <c r="E627" s="44" t="str">
        <f>HYPERLINK("https://natura2000.sopsr.sk/lokality/uev/lokality-uev/?uev=SKUEV4074","Odkaz")</f>
        <v>Odkaz</v>
      </c>
      <c r="F627" s="44" t="str">
        <f>HYPERLINK("https://natura2000.sopsr.sk/wp-content/uploads/natura/legislativa/uev/ciele/SKUEV4074.docx","Spracované")</f>
        <v>Spracované</v>
      </c>
      <c r="G627" s="22"/>
      <c r="H627" s="27" t="s">
        <v>11</v>
      </c>
      <c r="I627" s="21" t="s">
        <v>61</v>
      </c>
      <c r="J627" s="9" t="s">
        <v>13</v>
      </c>
      <c r="K627" s="40">
        <v>0</v>
      </c>
    </row>
    <row r="628" spans="1:11" x14ac:dyDescent="0.25">
      <c r="A628" s="26" t="s">
        <v>1315</v>
      </c>
      <c r="B628" s="36" t="s">
        <v>1347</v>
      </c>
      <c r="C628" s="7" t="str">
        <f>HYPERLINK("https://data.sopsr.sk/chranene-objekty/chranene-uzemia/detail/SKUEV4076","Lúky pod Šajbou")</f>
        <v>Lúky pod Šajbou</v>
      </c>
      <c r="D628" s="33">
        <v>40.904800000000002</v>
      </c>
      <c r="E628" s="44" t="str">
        <f>HYPERLINK("https://natura2000.sopsr.sk/lokality/uev/lokality-uev/?uev=SKUEV4076","Odkaz")</f>
        <v>Odkaz</v>
      </c>
      <c r="F628" s="44" t="str">
        <f>HYPERLINK("https://natura2000.sopsr.sk/wp-content/uploads/natura/legislativa/uev/ciele/SKUEV4076.docx","Spracované")</f>
        <v>Spracované</v>
      </c>
      <c r="G628" s="14" t="s">
        <v>23</v>
      </c>
      <c r="H628" s="27" t="s">
        <v>11</v>
      </c>
      <c r="I628" s="21" t="s">
        <v>61</v>
      </c>
      <c r="J628" s="9" t="s">
        <v>13</v>
      </c>
      <c r="K628" s="40">
        <v>0</v>
      </c>
    </row>
    <row r="629" spans="1:11" x14ac:dyDescent="0.25">
      <c r="A629" s="26" t="s">
        <v>1316</v>
      </c>
      <c r="B629" s="36" t="s">
        <v>1384</v>
      </c>
      <c r="C629" s="7" t="str">
        <f>HYPERLINK("https://data.sopsr.sk/chranene-objekty/chranene-uzemia/detail/SKUEV4077","Lúky pod Volchovom")</f>
        <v>Lúky pod Volchovom</v>
      </c>
      <c r="D629" s="33">
        <v>78.994699999999995</v>
      </c>
      <c r="E629" s="44" t="str">
        <f>HYPERLINK("https://natura2000.sopsr.sk/lokality/uev/lokality-uev/?uev=SKUEV4077","Odkaz")</f>
        <v>Odkaz</v>
      </c>
      <c r="F629" s="44" t="str">
        <f>HYPERLINK("https://natura2000.sopsr.sk/wp-content/uploads/natura/legislativa/uev/ciele/SKUEV4077.docx","Spracované")</f>
        <v>Spracované</v>
      </c>
      <c r="G629" s="22"/>
      <c r="H629" s="27" t="s">
        <v>11</v>
      </c>
      <c r="I629" s="21" t="s">
        <v>61</v>
      </c>
      <c r="J629" s="9" t="s">
        <v>13</v>
      </c>
      <c r="K629" s="40">
        <v>0</v>
      </c>
    </row>
    <row r="630" spans="1:11" x14ac:dyDescent="0.25">
      <c r="A630" s="26" t="s">
        <v>1317</v>
      </c>
      <c r="B630" s="36" t="s">
        <v>1385</v>
      </c>
      <c r="C630" s="7" t="str">
        <f>HYPERLINK("https://data.sopsr.sk/chranene-objekty/chranene-uzemia/detail/SKUEV4078","Lúky pod Viničným vrchom")</f>
        <v>Lúky pod Viničným vrchom</v>
      </c>
      <c r="D630" s="33">
        <v>49.468499999999999</v>
      </c>
      <c r="E630" s="44" t="str">
        <f>HYPERLINK("https://natura2000.sopsr.sk/lokality/uev/lokality-uev/?uev=SKUEV4078","Odkaz")</f>
        <v>Odkaz</v>
      </c>
      <c r="F630" s="44" t="str">
        <f>HYPERLINK("https://natura2000.sopsr.sk/wp-content/uploads/natura/legislativa/uev/ciele/SKUEV4078.docx","Spracované")</f>
        <v>Spracované</v>
      </c>
      <c r="G630" s="22"/>
      <c r="H630" s="27" t="s">
        <v>20</v>
      </c>
      <c r="I630" s="21" t="s">
        <v>61</v>
      </c>
      <c r="J630" s="9" t="s">
        <v>13</v>
      </c>
      <c r="K630" s="40">
        <v>0</v>
      </c>
    </row>
    <row r="631" spans="1:11" x14ac:dyDescent="0.25">
      <c r="A631" s="26" t="s">
        <v>1318</v>
      </c>
      <c r="B631" s="36" t="s">
        <v>1386</v>
      </c>
      <c r="C631" s="7" t="str">
        <f>HYPERLINK("https://data.sopsr.sk/chranene-objekty/chranene-uzemia/detail/SKUEV4080","Pasienky pod Veľkým lesom")</f>
        <v>Pasienky pod Veľkým lesom</v>
      </c>
      <c r="D631" s="33">
        <v>42.249600000000001</v>
      </c>
      <c r="E631" s="44" t="str">
        <f>HYPERLINK("https://natura2000.sopsr.sk/lokality/uev/lokality-uev/?uev=SKUEV4080","Odkaz")</f>
        <v>Odkaz</v>
      </c>
      <c r="F631" s="44" t="str">
        <f>HYPERLINK("https://natura2000.sopsr.sk/wp-content/uploads/natura/legislativa/uev/ciele/SKUEV4080.docx","Spracované")</f>
        <v>Spracované</v>
      </c>
      <c r="G631" s="22"/>
      <c r="H631" s="27" t="s">
        <v>20</v>
      </c>
      <c r="I631" s="21" t="s">
        <v>61</v>
      </c>
      <c r="J631" s="9" t="s">
        <v>13</v>
      </c>
      <c r="K631" s="40">
        <v>0</v>
      </c>
    </row>
    <row r="632" spans="1:11" x14ac:dyDescent="0.25">
      <c r="A632" s="26" t="s">
        <v>1319</v>
      </c>
      <c r="B632" s="36" t="s">
        <v>1348</v>
      </c>
      <c r="C632" s="7" t="str">
        <f>HYPERLINK("https://data.sopsr.sk/chranene-objekty/chranene-uzemia/detail/SKUEV4082","Pod Hradovou")</f>
        <v>Pod Hradovou</v>
      </c>
      <c r="D632" s="33">
        <v>37.593299999999999</v>
      </c>
      <c r="E632" s="44" t="str">
        <f>HYPERLINK("https://natura2000.sopsr.sk/lokality/uev/lokality-uev/?uev=SKUEV4082","Odkaz")</f>
        <v>Odkaz</v>
      </c>
      <c r="F632" s="44" t="str">
        <f>HYPERLINK("https://natura2000.sopsr.sk/wp-content/uploads/natura/legislativa/uev/ciele/SKUEV4082.docx","Spracované")</f>
        <v>Spracované</v>
      </c>
      <c r="G632" s="14" t="s">
        <v>23</v>
      </c>
      <c r="H632" s="27" t="s">
        <v>11</v>
      </c>
      <c r="I632" s="21" t="s">
        <v>61</v>
      </c>
      <c r="J632" s="9" t="s">
        <v>13</v>
      </c>
      <c r="K632" s="40">
        <v>0</v>
      </c>
    </row>
    <row r="633" spans="1:11" x14ac:dyDescent="0.25">
      <c r="A633" s="26" t="s">
        <v>1320</v>
      </c>
      <c r="B633" s="36" t="s">
        <v>1387</v>
      </c>
      <c r="C633" s="7" t="str">
        <f>HYPERLINK("https://data.sopsr.sk/chranene-objekty/chranene-uzemia/detail/SKUEV4083","Pod úbočou")</f>
        <v>Pod úbočou</v>
      </c>
      <c r="D633" s="33">
        <v>17.321899999999999</v>
      </c>
      <c r="E633" s="44" t="str">
        <f>HYPERLINK("https://natura2000.sopsr.sk/lokality/uev/lokality-uev/?uev=SKUEV4083","Odkaz")</f>
        <v>Odkaz</v>
      </c>
      <c r="F633" s="44" t="str">
        <f>HYPERLINK("https://natura2000.sopsr.sk/wp-content/uploads/natura/legislativa/uev/ciele/SKUEV4083.docx","Spracované")</f>
        <v>Spracované</v>
      </c>
      <c r="G633" s="14" t="s">
        <v>23</v>
      </c>
      <c r="H633" s="27" t="s">
        <v>11</v>
      </c>
      <c r="I633" s="21" t="s">
        <v>61</v>
      </c>
      <c r="J633" s="9" t="s">
        <v>13</v>
      </c>
      <c r="K633" s="40">
        <v>0</v>
      </c>
    </row>
    <row r="634" spans="1:11" x14ac:dyDescent="0.25">
      <c r="A634" s="26" t="s">
        <v>1321</v>
      </c>
      <c r="B634" s="36" t="s">
        <v>1388</v>
      </c>
      <c r="C634" s="7" t="str">
        <f>HYPERLINK("https://data.sopsr.sk/chranene-objekty/chranene-uzemia/detail/SKUEV4084","Lúky pod Železníkom")</f>
        <v>Lúky pod Železníkom</v>
      </c>
      <c r="D634" s="33">
        <v>30.7257</v>
      </c>
      <c r="E634" s="44" t="str">
        <f>HYPERLINK("https://natura2000.sopsr.sk/lokality/uev/lokality-uev/?uev=SKUEV4084","Odkaz")</f>
        <v>Odkaz</v>
      </c>
      <c r="F634" s="44" t="str">
        <f>HYPERLINK("https://natura2000.sopsr.sk/wp-content/uploads/natura/legislativa/uev/ciele/SKUEV4084.docx","Spracované")</f>
        <v>Spracované</v>
      </c>
      <c r="G634" s="22"/>
      <c r="H634" s="27" t="s">
        <v>11</v>
      </c>
      <c r="I634" s="21" t="s">
        <v>61</v>
      </c>
      <c r="J634" s="9" t="s">
        <v>13</v>
      </c>
      <c r="K634" s="40">
        <v>0</v>
      </c>
    </row>
    <row r="635" spans="1:11" x14ac:dyDescent="0.25">
      <c r="A635" s="26" t="s">
        <v>1322</v>
      </c>
      <c r="B635" s="36" t="s">
        <v>1389</v>
      </c>
      <c r="C635" s="7" t="str">
        <f>HYPERLINK("https://data.sopsr.sk/chranene-objekty/chranene-uzemia/detail/SKUEV4087","Vlhká lúka pri Červeňanoch")</f>
        <v>Vlhká lúka pri Červeňanoch</v>
      </c>
      <c r="D635" s="33">
        <v>4.4607000000000001</v>
      </c>
      <c r="E635" s="44" t="str">
        <f>HYPERLINK("https://natura2000.sopsr.sk/lokality/uev/lokality-uev/?uev=SKUEV4087","Odkaz")</f>
        <v>Odkaz</v>
      </c>
      <c r="F635" s="44" t="str">
        <f>HYPERLINK("https://natura2000.sopsr.sk/wp-content/uploads/natura/legislativa/uev/ciele/SKUEV4087.docx","Spracované")</f>
        <v>Spracované</v>
      </c>
      <c r="G635" s="22"/>
      <c r="H635" s="27" t="s">
        <v>11</v>
      </c>
      <c r="I635" s="21" t="s">
        <v>61</v>
      </c>
      <c r="J635" s="9" t="s">
        <v>13</v>
      </c>
      <c r="K635" s="40">
        <v>0</v>
      </c>
    </row>
    <row r="636" spans="1:11" x14ac:dyDescent="0.25">
      <c r="A636" s="26" t="s">
        <v>1323</v>
      </c>
      <c r="B636" s="36" t="s">
        <v>1390</v>
      </c>
      <c r="C636" s="7" t="str">
        <f>HYPERLINK("https://data.sopsr.sk/chranene-objekty/chranene-uzemia/detail/SKUEV4088","Lúky za Karcabou")</f>
        <v>Lúky za Karcabou</v>
      </c>
      <c r="D636" s="33">
        <v>248.7311</v>
      </c>
      <c r="E636" s="44" t="str">
        <f>HYPERLINK("https://natura2000.sopsr.sk/lokality/uev/lokality-uev/?uev=SKUEV4088","Odkaz")</f>
        <v>Odkaz</v>
      </c>
      <c r="F636" s="44" t="str">
        <f>HYPERLINK("https://natura2000.sopsr.sk/wp-content/uploads/natura/legislativa/uev/ciele/SKUEV4088.docx","Spracované")</f>
        <v>Spracované</v>
      </c>
      <c r="G636" s="22"/>
      <c r="H636" s="27" t="s">
        <v>11</v>
      </c>
      <c r="I636" s="22" t="s">
        <v>26</v>
      </c>
      <c r="J636" s="9" t="s">
        <v>143</v>
      </c>
      <c r="K636" s="40">
        <v>0</v>
      </c>
    </row>
    <row r="637" spans="1:11" x14ac:dyDescent="0.25">
      <c r="A637" s="26" t="s">
        <v>1324</v>
      </c>
      <c r="B637" s="36" t="s">
        <v>1391</v>
      </c>
      <c r="C637" s="7" t="str">
        <f>HYPERLINK("https://data.sopsr.sk/chranene-objekty/chranene-uzemia/detail/SKUEV4089","Za Skorami")</f>
        <v>Za Skorami</v>
      </c>
      <c r="D637" s="33">
        <v>7.0350000000000001</v>
      </c>
      <c r="E637" s="44" t="str">
        <f>HYPERLINK("https://natura2000.sopsr.sk/lokality/uev/lokality-uev/?uev=SKUEV4089","Odkaz")</f>
        <v>Odkaz</v>
      </c>
      <c r="F637" s="44" t="str">
        <f>HYPERLINK("https://natura2000.sopsr.sk/wp-content/uploads/natura/legislativa/uev/ciele/SKUEV4089.docx","Spracované")</f>
        <v>Spracované</v>
      </c>
      <c r="G637" s="22"/>
      <c r="H637" s="27" t="s">
        <v>11</v>
      </c>
      <c r="I637" s="22" t="s">
        <v>26</v>
      </c>
      <c r="J637" s="9" t="s">
        <v>143</v>
      </c>
      <c r="K637" s="40">
        <v>0</v>
      </c>
    </row>
    <row r="638" spans="1:11" x14ac:dyDescent="0.25">
      <c r="A638" s="26" t="s">
        <v>1325</v>
      </c>
      <c r="B638" s="36" t="s">
        <v>1392</v>
      </c>
      <c r="C638" s="7" t="str">
        <f>HYPERLINK("https://data.sopsr.sk/chranene-objekty/chranene-uzemia/detail/SKUEV4090","Údolie Hlinice")</f>
        <v>Údolie Hlinice</v>
      </c>
      <c r="D638" s="33">
        <v>51.715400000000002</v>
      </c>
      <c r="E638" s="44" t="str">
        <f>HYPERLINK("https://natura2000.sopsr.sk/lokality/uev/lokality-uev/?uev=SKUEV4090","Odkaz")</f>
        <v>Odkaz</v>
      </c>
      <c r="F638" s="44" t="str">
        <f>HYPERLINK("https://natura2000.sopsr.sk/wp-content/uploads/natura/legislativa/uev/ciele/SKUEV4090.docx","Spracované")</f>
        <v>Spracované</v>
      </c>
      <c r="G638" s="22"/>
      <c r="H638" s="27" t="s">
        <v>11</v>
      </c>
      <c r="I638" s="22" t="s">
        <v>64</v>
      </c>
      <c r="J638" s="9" t="s">
        <v>231</v>
      </c>
      <c r="K638" s="40">
        <v>0</v>
      </c>
    </row>
    <row r="639" spans="1:11" x14ac:dyDescent="0.25">
      <c r="A639" s="26" t="s">
        <v>1326</v>
      </c>
      <c r="B639" s="36" t="s">
        <v>1393</v>
      </c>
      <c r="C639" s="7" t="str">
        <f>HYPERLINK("https://data.sopsr.sk/chranene-objekty/chranene-uzemia/detail/SKUEV4092","Lúky v Trlenskej doline")</f>
        <v>Lúky v Trlenskej doline</v>
      </c>
      <c r="D639" s="33">
        <v>25.3459</v>
      </c>
      <c r="E639" s="44" t="str">
        <f>HYPERLINK("https://natura2000.sopsr.sk/lokality/uev/lokality-uev/?uev=SKUEV4092","Odkaz")</f>
        <v>Odkaz</v>
      </c>
      <c r="F639" s="44" t="str">
        <f>HYPERLINK("https://natura2000.sopsr.sk/wp-content/uploads/natura/legislativa/uev/ciele/SKUEV4092.docx","Spracované")</f>
        <v>Spracované</v>
      </c>
      <c r="G639" s="43" t="s">
        <v>23</v>
      </c>
      <c r="H639" s="27" t="s">
        <v>11</v>
      </c>
      <c r="I639" s="21" t="s">
        <v>127</v>
      </c>
      <c r="J639" s="9" t="s">
        <v>316</v>
      </c>
      <c r="K639" s="40">
        <v>0</v>
      </c>
    </row>
    <row r="640" spans="1:11" x14ac:dyDescent="0.25">
      <c r="A640" s="26" t="s">
        <v>1327</v>
      </c>
      <c r="B640" s="36" t="s">
        <v>1394</v>
      </c>
      <c r="C640" s="7" t="str">
        <f>HYPERLINK("https://data.sopsr.sk/chranene-objekty/chranene-uzemia/detail/SKUEV4096","Gerlachovské lúky")</f>
        <v>Gerlachovské lúky</v>
      </c>
      <c r="D640" s="33">
        <v>90.698499999999996</v>
      </c>
      <c r="E640" s="44" t="str">
        <f>HYPERLINK("https://natura2000.sopsr.sk/lokality/uev/lokality-uev/?uev=SKUEV4096","Odkaz")</f>
        <v>Odkaz</v>
      </c>
      <c r="F640" s="44" t="str">
        <f>HYPERLINK("https://natura2000.sopsr.sk/wp-content/uploads/natura/legislativa/uev/ciele/SKUEV4096.docx","Spracované")</f>
        <v>Spracované</v>
      </c>
      <c r="G640" s="22"/>
      <c r="H640" s="27" t="s">
        <v>11</v>
      </c>
      <c r="I640" s="22" t="s">
        <v>26</v>
      </c>
      <c r="J640" s="10" t="s">
        <v>1401</v>
      </c>
      <c r="K640" s="40">
        <v>0</v>
      </c>
    </row>
    <row r="641" spans="1:11" x14ac:dyDescent="0.25">
      <c r="A641" s="26" t="s">
        <v>1328</v>
      </c>
      <c r="B641" s="36" t="s">
        <v>1395</v>
      </c>
      <c r="C641" s="7" t="str">
        <f>HYPERLINK("https://data.sopsr.sk/chranene-objekty/chranene-uzemia/detail/SKUEV4097","Lúky nad Hradiskom")</f>
        <v>Lúky nad Hradiskom</v>
      </c>
      <c r="D641" s="33">
        <v>69.120400000000004</v>
      </c>
      <c r="E641" s="44" t="str">
        <f>HYPERLINK("https://natura2000.sopsr.sk/lokality/uev/lokality-uev/?uev=SKUEV4097","Odkaz")</f>
        <v>Odkaz</v>
      </c>
      <c r="F641" s="44" t="str">
        <f>HYPERLINK("https://natura2000.sopsr.sk/wp-content/uploads/natura/legislativa/uev/ciele/SKUEV4097.docx","Spracované")</f>
        <v>Spracované</v>
      </c>
      <c r="G641" s="22"/>
      <c r="H641" s="27" t="s">
        <v>11</v>
      </c>
      <c r="I641" s="22" t="s">
        <v>26</v>
      </c>
      <c r="J641" s="10" t="s">
        <v>1401</v>
      </c>
      <c r="K641" s="40">
        <v>0</v>
      </c>
    </row>
    <row r="642" spans="1:11" x14ac:dyDescent="0.25">
      <c r="A642" s="26" t="s">
        <v>1329</v>
      </c>
      <c r="B642" s="36" t="s">
        <v>1396</v>
      </c>
      <c r="C642" s="7" t="str">
        <f>HYPERLINK("https://data.sopsr.sk/chranene-objekty/chranene-uzemia/detail/SKUEV4100","Lúky pod Beskydom")</f>
        <v>Lúky pod Beskydom</v>
      </c>
      <c r="D642" s="33">
        <v>68.142499999999998</v>
      </c>
      <c r="E642" s="44" t="str">
        <f>HYPERLINK("https://natura2000.sopsr.sk/lokality/uev/lokality-uev/?uev=SKUEV4100","Odkaz")</f>
        <v>Odkaz</v>
      </c>
      <c r="F642" s="44" t="str">
        <f>HYPERLINK("https://natura2000.sopsr.sk/wp-content/uploads/natura/legislativa/uev/ciele/SKUEV4100.docx","Spracované")</f>
        <v>Spracované</v>
      </c>
      <c r="G642" s="22"/>
      <c r="H642" s="27" t="s">
        <v>11</v>
      </c>
      <c r="I642" s="22" t="s">
        <v>26</v>
      </c>
      <c r="J642" s="10" t="s">
        <v>1401</v>
      </c>
      <c r="K642" s="40">
        <v>0</v>
      </c>
    </row>
    <row r="643" spans="1:11" x14ac:dyDescent="0.25">
      <c r="A643" s="26" t="s">
        <v>1330</v>
      </c>
      <c r="B643" s="36" t="s">
        <v>1397</v>
      </c>
      <c r="C643" s="7" t="str">
        <f>HYPERLINK("https://data.sopsr.sk/chranene-objekty/chranene-uzemia/detail/SKUEV4101","Lúky pod Dubníkom")</f>
        <v>Lúky pod Dubníkom</v>
      </c>
      <c r="D643" s="33">
        <v>5.7934000000000001</v>
      </c>
      <c r="E643" s="44" t="str">
        <f>HYPERLINK("https://natura2000.sopsr.sk/lokality/uev/lokality-uev/?uev=SKUEV4101","Odkaz")</f>
        <v>Odkaz</v>
      </c>
      <c r="F643" s="44" t="str">
        <f>HYPERLINK("https://natura2000.sopsr.sk/wp-content/uploads/natura/legislativa/uev/ciele/SKUEV4101.docx","Spracované")</f>
        <v>Spracované</v>
      </c>
      <c r="G643" s="22"/>
      <c r="H643" s="27" t="s">
        <v>11</v>
      </c>
      <c r="I643" s="22" t="s">
        <v>26</v>
      </c>
      <c r="J643" s="10" t="s">
        <v>1401</v>
      </c>
      <c r="K643" s="40">
        <v>0</v>
      </c>
    </row>
    <row r="644" spans="1:11" x14ac:dyDescent="0.25">
      <c r="A644" s="26" t="s">
        <v>1331</v>
      </c>
      <c r="B644" s="36" t="s">
        <v>1398</v>
      </c>
      <c r="C644" s="7" t="str">
        <f>HYPERLINK("https://data.sopsr.sk/chranene-objekty/chranene-uzemia/detail/SKUEV4104","Lúky v Tepličnom")</f>
        <v>Lúky v Tepličnom</v>
      </c>
      <c r="D644" s="33">
        <v>32.407400000000003</v>
      </c>
      <c r="E644" s="44" t="str">
        <f>HYPERLINK("https://natura2000.sopsr.sk/lokality/uev/lokality-uev/?uev=SKUEV4104","Odkaz")</f>
        <v>Odkaz</v>
      </c>
      <c r="F644" s="44" t="str">
        <f>HYPERLINK("https://natura2000.sopsr.sk/wp-content/uploads/natura/legislativa/uev/ciele/SKUEV4104.docx","Spracované")</f>
        <v>Spracované</v>
      </c>
      <c r="G644" s="14" t="s">
        <v>23</v>
      </c>
      <c r="H644" s="27" t="s">
        <v>11</v>
      </c>
      <c r="I644" s="21" t="s">
        <v>61</v>
      </c>
      <c r="J644" s="9" t="s">
        <v>13</v>
      </c>
      <c r="K644" s="40">
        <v>0</v>
      </c>
    </row>
    <row r="645" spans="1:11" x14ac:dyDescent="0.25">
      <c r="A645" s="26" t="s">
        <v>1332</v>
      </c>
      <c r="B645" s="36" t="s">
        <v>1349</v>
      </c>
      <c r="C645" s="7" t="str">
        <f>HYPERLINK("https://data.sopsr.sk/chranene-objekty/chranene-uzemia/detail/SKUEV4105","Pod Bradelským")</f>
        <v>Pod Bradelským</v>
      </c>
      <c r="D645" s="33">
        <v>0.9123</v>
      </c>
      <c r="E645" s="44" t="str">
        <f>HYPERLINK("https://natura2000.sopsr.sk/lokality/uev/lokality-uev/?uev=SKUEV4105","Odkaz")</f>
        <v>Odkaz</v>
      </c>
      <c r="F645" s="44" t="str">
        <f>HYPERLINK("https://natura2000.sopsr.sk/wp-content/uploads/natura/legislativa/uev/ciele/SKUEV4105.docx","Spracované")</f>
        <v>Spracované</v>
      </c>
      <c r="G645" s="22"/>
      <c r="H645" s="27" t="s">
        <v>11</v>
      </c>
      <c r="I645" s="22" t="s">
        <v>222</v>
      </c>
      <c r="J645" s="9" t="s">
        <v>319</v>
      </c>
      <c r="K645" s="40">
        <v>100</v>
      </c>
    </row>
    <row r="646" spans="1:11" x14ac:dyDescent="0.25">
      <c r="A646" s="26" t="s">
        <v>1333</v>
      </c>
      <c r="B646" s="36" t="s">
        <v>1399</v>
      </c>
      <c r="C646" s="7" t="str">
        <f>HYPERLINK("https://data.sopsr.sk/chranene-objekty/chranene-uzemia/detail/SKUEV4106","Lúka pod Marmonom")</f>
        <v>Lúka pod Marmonom</v>
      </c>
      <c r="D646" s="33">
        <v>9.3908000000000005</v>
      </c>
      <c r="E646" s="44" t="str">
        <f>HYPERLINK("https://natura2000.sopsr.sk/lokality/uev/lokality-uev/?uev=SKUEV4106","Odkaz")</f>
        <v>Odkaz</v>
      </c>
      <c r="F646" s="44" t="str">
        <f>HYPERLINK("https://natura2000.sopsr.sk/wp-content/uploads/natura/legislativa/uev/ciele/SKUEV4106.docx","Spracované")</f>
        <v>Spracované</v>
      </c>
      <c r="G646" s="22"/>
      <c r="H646" s="27" t="s">
        <v>11</v>
      </c>
      <c r="I646" s="22" t="s">
        <v>26</v>
      </c>
      <c r="J646" s="9" t="s">
        <v>694</v>
      </c>
      <c r="K646" s="40">
        <v>0</v>
      </c>
    </row>
    <row r="647" spans="1:11" x14ac:dyDescent="0.25">
      <c r="E647" s="37"/>
      <c r="K647" s="37"/>
    </row>
    <row r="648" spans="1:11" x14ac:dyDescent="0.25">
      <c r="E648" s="37"/>
    </row>
  </sheetData>
  <autoFilter ref="A2:K646"/>
  <hyperlinks>
    <hyperlink ref="G6" r:id="rId1"/>
    <hyperlink ref="G12" r:id="rId2"/>
    <hyperlink ref="G14" r:id="rId3"/>
    <hyperlink ref="G19" r:id="rId4"/>
    <hyperlink ref="G22" r:id="rId5"/>
    <hyperlink ref="G25" r:id="rId6"/>
    <hyperlink ref="G27" r:id="rId7"/>
    <hyperlink ref="G28" r:id="rId8"/>
    <hyperlink ref="G31" r:id="rId9"/>
    <hyperlink ref="G37" r:id="rId10"/>
    <hyperlink ref="G40" r:id="rId11"/>
    <hyperlink ref="G49" r:id="rId12"/>
    <hyperlink ref="G52" r:id="rId13"/>
    <hyperlink ref="G54" r:id="rId14"/>
    <hyperlink ref="G55" r:id="rId15"/>
    <hyperlink ref="G58" r:id="rId16"/>
    <hyperlink ref="G59" r:id="rId17"/>
    <hyperlink ref="G60" r:id="rId18"/>
    <hyperlink ref="G61" r:id="rId19"/>
    <hyperlink ref="G69" r:id="rId20"/>
    <hyperlink ref="G71" r:id="rId21"/>
    <hyperlink ref="G73" r:id="rId22"/>
    <hyperlink ref="G79" r:id="rId23"/>
    <hyperlink ref="G86" r:id="rId24"/>
    <hyperlink ref="G87" r:id="rId25"/>
    <hyperlink ref="G89" r:id="rId26"/>
    <hyperlink ref="G90" r:id="rId27"/>
    <hyperlink ref="G91" r:id="rId28"/>
    <hyperlink ref="G94" r:id="rId29"/>
    <hyperlink ref="G97" r:id="rId30"/>
    <hyperlink ref="G103" r:id="rId31"/>
    <hyperlink ref="G108" r:id="rId32"/>
    <hyperlink ref="G115" r:id="rId33"/>
    <hyperlink ref="G120" r:id="rId34"/>
    <hyperlink ref="G122" r:id="rId35"/>
    <hyperlink ref="G123" r:id="rId36"/>
    <hyperlink ref="G124" r:id="rId37"/>
    <hyperlink ref="G125" r:id="rId38"/>
    <hyperlink ref="G137" r:id="rId39"/>
    <hyperlink ref="G156" r:id="rId40"/>
    <hyperlink ref="G196" r:id="rId41"/>
    <hyperlink ref="G212" r:id="rId42"/>
    <hyperlink ref="G217" r:id="rId43"/>
    <hyperlink ref="G218" r:id="rId44"/>
    <hyperlink ref="G223" r:id="rId45"/>
    <hyperlink ref="G225" r:id="rId46"/>
    <hyperlink ref="G226" r:id="rId47"/>
    <hyperlink ref="G227" r:id="rId48"/>
    <hyperlink ref="G228" r:id="rId49"/>
    <hyperlink ref="G249" r:id="rId50"/>
    <hyperlink ref="G250" r:id="rId51"/>
    <hyperlink ref="G252" r:id="rId52"/>
    <hyperlink ref="G261" r:id="rId53"/>
    <hyperlink ref="G267" r:id="rId54"/>
    <hyperlink ref="G270" r:id="rId55"/>
    <hyperlink ref="G271" r:id="rId56"/>
    <hyperlink ref="G282" r:id="rId57"/>
    <hyperlink ref="G294" r:id="rId58"/>
    <hyperlink ref="G314" r:id="rId59"/>
    <hyperlink ref="G315" r:id="rId60"/>
    <hyperlink ref="G316" r:id="rId61"/>
    <hyperlink ref="G330" r:id="rId62"/>
    <hyperlink ref="G331" r:id="rId63"/>
    <hyperlink ref="G333" r:id="rId64"/>
    <hyperlink ref="G344" r:id="rId65"/>
    <hyperlink ref="G346" r:id="rId66"/>
    <hyperlink ref="G349" r:id="rId67"/>
    <hyperlink ref="G350" r:id="rId68"/>
    <hyperlink ref="G352" r:id="rId69"/>
    <hyperlink ref="G354" r:id="rId70"/>
    <hyperlink ref="G359" r:id="rId71"/>
    <hyperlink ref="G363" r:id="rId72"/>
    <hyperlink ref="G374" r:id="rId73"/>
    <hyperlink ref="G375" r:id="rId74"/>
    <hyperlink ref="G381" r:id="rId75"/>
    <hyperlink ref="G401" r:id="rId76"/>
    <hyperlink ref="G407" r:id="rId77"/>
    <hyperlink ref="G445" r:id="rId78"/>
    <hyperlink ref="G446" r:id="rId79"/>
    <hyperlink ref="G96" r:id="rId80"/>
    <hyperlink ref="G644" r:id="rId81"/>
    <hyperlink ref="G633" r:id="rId82"/>
    <hyperlink ref="G632" r:id="rId83"/>
    <hyperlink ref="G628" r:id="rId84"/>
    <hyperlink ref="G626" r:id="rId85"/>
    <hyperlink ref="G625" r:id="rId86"/>
    <hyperlink ref="G624" r:id="rId87"/>
    <hyperlink ref="G623" r:id="rId88"/>
    <hyperlink ref="G620" r:id="rId89"/>
    <hyperlink ref="G619" r:id="rId90"/>
    <hyperlink ref="G433" r:id="rId91"/>
    <hyperlink ref="G263" r:id="rId92"/>
    <hyperlink ref="G208" r:id="rId93"/>
    <hyperlink ref="G190" r:id="rId94"/>
    <hyperlink ref="G189" r:id="rId95"/>
    <hyperlink ref="G220" r:id="rId96"/>
    <hyperlink ref="G639" r:id="rId97"/>
  </hyperlinks>
  <pageMargins left="0.7" right="0.7" top="0.75" bottom="0.75" header="0.3" footer="0.3"/>
  <pageSetup paperSize="9" scale="35" orientation="landscape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prehľad všetkých ÚEV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Mutnanova</dc:creator>
  <cp:lastModifiedBy>Users</cp:lastModifiedBy>
  <cp:lastPrinted>2024-04-10T13:41:09Z</cp:lastPrinted>
  <dcterms:created xsi:type="dcterms:W3CDTF">2024-01-31T10:52:23Z</dcterms:created>
  <dcterms:modified xsi:type="dcterms:W3CDTF">2025-06-25T06:44:40Z</dcterms:modified>
</cp:coreProperties>
</file>